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cfzlChclO3EPhKDE6ePTh4DH/yQipiK6vN5UmgDOht8HAJSZIfsI5s8d2VehxGu/OqGnPO3fydtiWjHze8Eyig==" workbookSaltValue="HYAjPvdxq4+h15HhYAni1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D13" i="7"/>
  <c r="BE11" i="13"/>
  <c r="B13" i="7"/>
  <c r="AB19" i="19"/>
  <c r="E18" i="12"/>
  <c r="D18" i="12"/>
  <c r="ER19" i="8"/>
  <c r="EQ19" i="8"/>
  <c r="BA13" i="16"/>
  <c r="G18" i="12"/>
  <c r="W19" i="13"/>
  <c r="AL13" i="16"/>
  <c r="S13" i="16"/>
  <c r="P13" i="16"/>
  <c r="AN13" i="20"/>
  <c r="Z13" i="17"/>
  <c r="H13" i="12"/>
  <c r="T19" i="8"/>
  <c r="T13" i="12"/>
  <c r="BD9" i="8"/>
  <c r="E13" i="17"/>
  <c r="T13" i="20"/>
  <c r="T13" i="16"/>
  <c r="AP13" i="16"/>
  <c r="T18" i="17"/>
  <c r="BG15" i="13"/>
  <c r="J20" i="20"/>
  <c r="AF20" i="20"/>
  <c r="M20" i="20"/>
  <c r="AG20" i="20"/>
  <c r="S20" i="20"/>
  <c r="Z20" i="20"/>
  <c r="W20" i="21"/>
  <c r="K20" i="20"/>
  <c r="AM20" i="20"/>
  <c r="AK20" i="20"/>
  <c r="F20" i="20"/>
  <c r="Z19" i="8" l="1"/>
  <c r="AH19" i="8"/>
  <c r="AR18" i="11"/>
  <c r="AN17" i="11"/>
  <c r="AJ19" i="8"/>
  <c r="AH13" i="16"/>
  <c r="BA13" i="8"/>
  <c r="BG12" i="8"/>
  <c r="AA19" i="8"/>
  <c r="M18" i="2"/>
  <c r="R8" i="9"/>
  <c r="AP16" i="20" s="1"/>
  <c r="BF12" i="8"/>
  <c r="AY13" i="8"/>
  <c r="BG9" i="8"/>
  <c r="BE9" i="8"/>
  <c r="AC12" i="11"/>
  <c r="BB13" i="13"/>
  <c r="D17" i="6"/>
  <c r="J17" i="12" s="1"/>
  <c r="BD15" i="8"/>
  <c r="G18" i="2"/>
  <c r="BD11" i="13"/>
  <c r="F11" i="16"/>
  <c r="X12" i="21"/>
  <c r="BH9" i="16"/>
  <c r="BI10" i="11"/>
  <c r="BJ12" i="11"/>
  <c r="BK17" i="11"/>
  <c r="BW17" i="20"/>
  <c r="BV10" i="16"/>
  <c r="S11" i="14"/>
  <c r="V11" i="14" s="1"/>
  <c r="BF12" i="11"/>
  <c r="BH11" i="16"/>
  <c r="BH17" i="16"/>
  <c r="BM16" i="11"/>
  <c r="BF17" i="11"/>
  <c r="S17" i="16"/>
  <c r="X11" i="17"/>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Q17" i="20"/>
  <c r="Q18" i="20" s="1"/>
  <c r="BL17" i="11"/>
  <c r="BF10" i="11"/>
  <c r="BK9" i="11"/>
  <c r="BK11" i="11"/>
  <c r="V11" i="11"/>
  <c r="Q10" i="21"/>
  <c r="BI15" i="11"/>
  <c r="BJ15" i="11"/>
  <c r="AP15" i="20"/>
  <c r="R17" i="20"/>
  <c r="R18" i="20" s="1"/>
  <c r="T17" i="16"/>
  <c r="BU15" i="17"/>
  <c r="BW9" i="20"/>
  <c r="BV16" i="16"/>
  <c r="BW16" i="20"/>
  <c r="BW15" i="20"/>
  <c r="BU9" i="17"/>
  <c r="BU17" i="17"/>
  <c r="BV9" i="16"/>
  <c r="S12" i="14"/>
  <c r="V12" i="14" s="1"/>
  <c r="P15" i="17"/>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K10" i="12"/>
  <c r="BK15" i="11"/>
  <c r="BL12" i="11"/>
  <c r="BF16" i="11"/>
  <c r="P17" i="17"/>
  <c r="P18" i="17" s="1"/>
  <c r="P19" i="17" s="1"/>
  <c r="BG10" i="11"/>
  <c r="BL9" i="11"/>
  <c r="Q9" i="11" s="1"/>
  <c r="BF11" i="11"/>
  <c r="S15" i="16"/>
  <c r="S18" i="16" s="1"/>
  <c r="BU16" i="17"/>
  <c r="BV15" i="16"/>
  <c r="T15" i="16"/>
  <c r="BG15" i="11"/>
  <c r="S9" i="14"/>
  <c r="V9" i="14" s="1"/>
  <c r="BK12" i="11"/>
  <c r="S15" i="17"/>
  <c r="BL15" i="11"/>
  <c r="BJ10" i="11"/>
  <c r="BH11" i="11"/>
  <c r="S17" i="17"/>
  <c r="BH12" i="16"/>
  <c r="X15" i="16"/>
  <c r="X18" i="16" s="1"/>
  <c r="BL10" i="11"/>
  <c r="BK16" i="11"/>
  <c r="BG16" i="11"/>
  <c r="BM9" i="11"/>
  <c r="BK10" i="11"/>
  <c r="BK13" i="11" s="1"/>
  <c r="L15" i="2"/>
  <c r="V10" i="16"/>
  <c r="V9" i="16"/>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X20" i="20"/>
  <c r="AV20" i="21"/>
  <c r="AB20" i="20"/>
  <c r="O20" i="20"/>
  <c r="H20" i="20"/>
  <c r="O16" i="11"/>
  <c r="H20" i="17"/>
  <c r="U17" i="11"/>
  <c r="N20" i="20"/>
  <c r="AW20" i="11"/>
  <c r="P12" i="11" l="1"/>
  <c r="BK19" i="1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V20" i="17"/>
  <c r="AP20" i="16"/>
  <c r="BC20" i="16"/>
  <c r="V19" i="16" l="1"/>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<sst xmlns="http://schemas.openxmlformats.org/spreadsheetml/2006/main" count="2094" uniqueCount="914">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</sst>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hv+n/PupGEIvQB7CWezEBjqH64Np68Bm7GIYM2CYWQY0bx0sIStLLolAS/+bahfU+ZxXDcVI1IIKsMKdV3gJQ==" saltValue="4nd4GAeBJWVHgHFGWgo7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5.3616352201257858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124</v>
      </c>
      <c r="D16" s="228">
        <f>IF(ISNUMBER(IF(D_I="SI",Datos!I16,Datos!I16+Datos!AC16)),IF(D_I="SI",Datos!I16,Datos!I16+Datos!AC16)," - ")</f>
        <v>121</v>
      </c>
      <c r="E16" s="229">
        <f>IF(ISNUMBER(IF(D_I="SI",Datos!J16,Datos!J16+Datos!AD16)),IF(D_I="SI",Datos!J16,Datos!J16+Datos!AD16)," - ")</f>
        <v>246</v>
      </c>
      <c r="F16" s="229">
        <f>IF(ISNUMBER(IF(D_I="SI",Datos!K16,Datos!K16+Datos!AE16)),IF(D_I="SI",Datos!K16,Datos!K16+Datos!AE16)," - ")</f>
        <v>224</v>
      </c>
      <c r="G16" s="1037" t="str">
        <f>IF(Datos!E16&lt;&gt;"",Datos!E16,Datos!D16)</f>
        <v>04</v>
      </c>
      <c r="H16" s="230">
        <f>IF(ISNUMBER(IF(D_I="SI",Datos!L16,Datos!L16+Datos!AF16)),IF(D_I="SI",Datos!L16,Datos!L16+Datos!AF16)," - ")</f>
        <v>146</v>
      </c>
      <c r="I16" s="1047" t="str">
        <f>IF(ISNUMBER(Datos!AS16/Datos!BM16),Datos!AS16/Datos!BM16," - ")</f>
        <v xml:space="preserve"> - </v>
      </c>
      <c r="J16" s="1048">
        <f>IF(ISNUMBER(Datos!BY16/Datos!CN16),Datos!BY16/Datos!CN16," - ")</f>
        <v>0</v>
      </c>
      <c r="K16" s="233">
        <f t="shared" si="3"/>
        <v>0.17741935483870969</v>
      </c>
      <c r="L16" s="1028">
        <f>IF(ISNUMBER(NºAsuntos!I16/NºAsuntos!G16),(NºAsuntos!I16/NºAsuntos!G16)*11," - ")</f>
        <v>7.1696428571428577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v>
      </c>
      <c r="D17" s="228">
        <f>IF(ISNUMBER(IF(D_I="SI",Datos!I17,Datos!I17+Datos!AC17)),IF(D_I="SI",Datos!I17,Datos!I17+Datos!AC17)," - ")</f>
        <v>1</v>
      </c>
      <c r="E17" s="229">
        <f>IF(ISNUMBER(IF(D_I="SI",Datos!J17,Datos!J17+Datos!AD17)),IF(D_I="SI",Datos!J17,Datos!J17+Datos!AD17)," - ")</f>
        <v>7</v>
      </c>
      <c r="F17" s="229">
        <f>IF(ISNUMBER(IF(D_I="SI",Datos!K17,Datos!K17+Datos!AE17)),IF(D_I="SI",Datos!K17,Datos!K17+Datos!AE17)," - ")</f>
        <v>5</v>
      </c>
      <c r="G17" s="1037" t="str">
        <f>IF(Datos!E17&lt;&gt;"",Datos!E17,Datos!D17)</f>
        <v>37</v>
      </c>
      <c r="H17" s="230">
        <f>IF(ISNUMBER(IF(D_I="SI",Datos!L17,Datos!L17+Datos!AF17)),IF(D_I="SI",Datos!L17,Datos!L17+Datos!AF17)," - ")</f>
        <v>3</v>
      </c>
      <c r="I17" s="1047" t="str">
        <f>IF(ISNUMBER(Datos!AS17/Datos!BM17),Datos!AS17/Datos!BM17," - ")</f>
        <v xml:space="preserve"> - </v>
      </c>
      <c r="J17" s="1048" t="str">
        <f>IF(ISNUMBER((Datos!BY17+Datos!BZ17)/Datos!CN17),(Datos!BY17+Datos!BZ17)/Datos!CN17," - ")</f>
        <v xml:space="preserve"> - </v>
      </c>
      <c r="K17" s="233">
        <f t="shared" si="3"/>
        <v>2</v>
      </c>
      <c r="L17" s="1028">
        <f>IF(ISNUMBER(NºAsuntos!I17/NºAsuntos!G17),(NºAsuntos!I17/NºAsuntos!G17)*11," - ")</f>
        <v>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125</v>
      </c>
      <c r="D18" s="1052">
        <f>SUBTOTAL(9,D15:D17)</f>
        <v>122</v>
      </c>
      <c r="E18" s="1053">
        <f>SUBTOTAL(9,E15:E17)</f>
        <v>253</v>
      </c>
      <c r="F18" s="1053">
        <f>SUBTOTAL(9,F15:F17)</f>
        <v>229</v>
      </c>
      <c r="G18" s="1055" t="str">
        <f ca="1">INDIRECT(CONCATENATE("G",ROW()-1))</f>
        <v>37</v>
      </c>
      <c r="H18" s="1056">
        <f ca="1">SUMIF(G$14:G17,G18,H$14:H17)</f>
        <v>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125</v>
      </c>
      <c r="D19" s="1074">
        <f>SUBTOTAL(9,D9:D18)</f>
        <v>122</v>
      </c>
      <c r="E19" s="1075">
        <f>SUBTOTAL(9,E9:E18)</f>
        <v>253</v>
      </c>
      <c r="F19" s="1075">
        <f>SUBTOTAL(9,F9:F18)</f>
        <v>229</v>
      </c>
      <c r="G19" s="1076"/>
      <c r="H19" s="1077">
        <f ca="1">SUMIF(B9:B18,"TOTAL",H9:H18)</f>
        <v>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RGNi5c2rBD6ZO77ttSeAF0JajOUMgWcrEY0zwW5jXqQTp29WQ2CgTTzWZXdGO1Q9lUJSZPI2skOyRspK8TOIA==" saltValue="4in3JFaHwK4YLU1mkJz3o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PqmJ9HzHNFYB5C/R6LjCN9pVFbBDoFvLXFDJtuIFAB586feTEt0g0m2i40d/SosHt9b5RE1wKPwywvb9i6dcGA==" saltValue="ND2OfgLfI4TuYkSpu4p7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1</v>
      </c>
      <c r="U10" s="184">
        <v>1</v>
      </c>
      <c r="V10" s="184">
        <v>0</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107</v>
      </c>
      <c r="J12" s="186">
        <v>332</v>
      </c>
      <c r="K12" s="186">
        <v>286</v>
      </c>
      <c r="L12" s="186">
        <v>153</v>
      </c>
      <c r="M12" s="186">
        <v>44</v>
      </c>
      <c r="N12" s="186">
        <v>170</v>
      </c>
      <c r="O12" s="184">
        <v>148</v>
      </c>
      <c r="P12" s="186">
        <v>76</v>
      </c>
      <c r="Q12" s="186">
        <v>61</v>
      </c>
      <c r="R12" s="186">
        <v>263</v>
      </c>
      <c r="S12" s="186">
        <v>107</v>
      </c>
      <c r="T12" s="186">
        <v>289</v>
      </c>
      <c r="U12" s="186">
        <v>289</v>
      </c>
      <c r="V12" s="186">
        <v>107</v>
      </c>
      <c r="W12" s="186">
        <v>72</v>
      </c>
      <c r="X12" s="192">
        <v>159</v>
      </c>
      <c r="Y12" s="194">
        <v>4</v>
      </c>
      <c r="Z12" s="184">
        <v>30</v>
      </c>
      <c r="AA12" s="184">
        <v>32</v>
      </c>
      <c r="AB12" s="184">
        <v>2</v>
      </c>
      <c r="AC12" s="186">
        <v>0</v>
      </c>
      <c r="AD12" s="186">
        <v>0</v>
      </c>
      <c r="AE12" s="186">
        <v>0</v>
      </c>
      <c r="AF12" s="192">
        <v>0</v>
      </c>
      <c r="AG12" s="205">
        <v>7</v>
      </c>
      <c r="AH12" s="186">
        <v>47</v>
      </c>
      <c r="AI12" s="186">
        <v>50</v>
      </c>
      <c r="AJ12" s="206">
        <v>4</v>
      </c>
      <c r="AK12" s="185">
        <v>0</v>
      </c>
      <c r="AL12" s="186">
        <v>0</v>
      </c>
      <c r="AM12" s="186">
        <v>0</v>
      </c>
      <c r="AN12" s="192">
        <v>0</v>
      </c>
      <c r="AO12" s="262">
        <v>1</v>
      </c>
      <c r="AP12" s="158">
        <v>1</v>
      </c>
      <c r="AQ12" s="158">
        <v>1</v>
      </c>
      <c r="AR12" s="157">
        <v>1</v>
      </c>
      <c r="AS12" s="343" t="s">
        <v>803</v>
      </c>
      <c r="AT12" s="206"/>
      <c r="AU12" s="205"/>
      <c r="AV12" s="206"/>
      <c r="AW12" s="205"/>
      <c r="AX12" s="206"/>
      <c r="AY12" s="126">
        <f t="shared" si="1"/>
        <v>114</v>
      </c>
      <c r="AZ12" s="127">
        <f t="shared" si="1"/>
        <v>336</v>
      </c>
      <c r="BA12" s="127">
        <f t="shared" si="1"/>
        <v>339</v>
      </c>
      <c r="BB12" s="127">
        <f t="shared" si="1"/>
        <v>111</v>
      </c>
      <c r="BC12" s="125">
        <f>IF(ISNUMBER(X12),X12," - ")</f>
        <v>159</v>
      </c>
      <c r="BD12" s="126">
        <f t="shared" si="2"/>
        <v>1.0089285714285714</v>
      </c>
      <c r="BE12" s="127">
        <f t="shared" si="3"/>
        <v>0.32743362831858408</v>
      </c>
      <c r="BF12" s="127">
        <f t="shared" si="4"/>
        <v>0.46902654867256638</v>
      </c>
      <c r="BG12" s="199">
        <f t="shared" si="5"/>
        <v>1.3274336283185841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107</v>
      </c>
      <c r="J13" s="187">
        <f t="shared" si="6"/>
        <v>332</v>
      </c>
      <c r="K13" s="187">
        <f t="shared" si="6"/>
        <v>286</v>
      </c>
      <c r="L13" s="187">
        <f t="shared" si="6"/>
        <v>153</v>
      </c>
      <c r="M13" s="187">
        <f t="shared" si="6"/>
        <v>44</v>
      </c>
      <c r="N13" s="187">
        <f t="shared" si="6"/>
        <v>170</v>
      </c>
      <c r="O13" s="187">
        <f t="shared" si="6"/>
        <v>148</v>
      </c>
      <c r="P13" s="187">
        <f t="shared" si="6"/>
        <v>76</v>
      </c>
      <c r="Q13" s="187">
        <f t="shared" si="6"/>
        <v>61</v>
      </c>
      <c r="R13" s="187">
        <f t="shared" si="6"/>
        <v>263</v>
      </c>
      <c r="S13" s="187">
        <f t="shared" si="6"/>
        <v>107</v>
      </c>
      <c r="T13" s="187">
        <f t="shared" si="6"/>
        <v>290</v>
      </c>
      <c r="U13" s="187">
        <f t="shared" si="6"/>
        <v>290</v>
      </c>
      <c r="V13" s="187">
        <f t="shared" si="6"/>
        <v>107</v>
      </c>
      <c r="W13" s="187">
        <f t="shared" si="6"/>
        <v>73</v>
      </c>
      <c r="X13" s="187">
        <f t="shared" si="6"/>
        <v>159</v>
      </c>
      <c r="Y13" s="187">
        <f t="shared" si="6"/>
        <v>4</v>
      </c>
      <c r="Z13" s="187">
        <f t="shared" si="6"/>
        <v>30</v>
      </c>
      <c r="AA13" s="187">
        <f t="shared" si="6"/>
        <v>32</v>
      </c>
      <c r="AB13" s="187">
        <f t="shared" si="6"/>
        <v>2</v>
      </c>
      <c r="AC13" s="187">
        <f t="shared" si="6"/>
        <v>0</v>
      </c>
      <c r="AD13" s="187">
        <f t="shared" si="6"/>
        <v>0</v>
      </c>
      <c r="AE13" s="187">
        <f t="shared" si="6"/>
        <v>0</v>
      </c>
      <c r="AF13" s="187">
        <f>SUBTOTAL(9,AF9:AF12)</f>
        <v>0</v>
      </c>
      <c r="AG13" s="187">
        <f t="shared" ref="AG13:AT13" si="7">SUBTOTAL(9,AG8:AG12)</f>
        <v>7</v>
      </c>
      <c r="AH13" s="187">
        <f t="shared" si="7"/>
        <v>47</v>
      </c>
      <c r="AI13" s="187">
        <f t="shared" si="7"/>
        <v>50</v>
      </c>
      <c r="AJ13" s="187">
        <f t="shared" si="7"/>
        <v>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114</v>
      </c>
      <c r="AZ13" s="187">
        <f>SUBTOTAL(9,AZ8:AZ12)</f>
        <v>337</v>
      </c>
      <c r="BA13" s="187">
        <f>SUBTOTAL(9,BA8:BA12)</f>
        <v>340</v>
      </c>
      <c r="BB13" s="187">
        <f>SUBTOTAL(9,BB8:BB12)</f>
        <v>111</v>
      </c>
      <c r="BC13" s="187">
        <f>SUBTOTAL(9,BC8:BC12)</f>
        <v>160</v>
      </c>
      <c r="BD13" s="208">
        <f>IF(ISNUMBER(BA13/AZ13),BA13/AZ13," - ")</f>
        <v>1.0089020771513353</v>
      </c>
      <c r="BE13" s="209">
        <f>IF(ISNUMBER(BB13/BA13),BB13/BA13, " - ")</f>
        <v>0.32647058823529412</v>
      </c>
      <c r="BF13" s="209">
        <f>IF(ISNUMBER(BC13/BA13),BC13/BA13, " - ")</f>
        <v>0.47058823529411764</v>
      </c>
      <c r="BG13" s="210">
        <f>IF(ISNUMBER((AY13+AZ13)/BA13),(AY13+AZ13)/BA13," - ")</f>
        <v>1.3264705882352941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121</v>
      </c>
      <c r="J16" s="186">
        <v>246</v>
      </c>
      <c r="K16" s="186">
        <v>224</v>
      </c>
      <c r="L16" s="186">
        <v>146</v>
      </c>
      <c r="M16" s="186">
        <v>21</v>
      </c>
      <c r="N16" s="186">
        <v>141</v>
      </c>
      <c r="O16" s="184">
        <v>6</v>
      </c>
      <c r="P16" s="186">
        <v>6</v>
      </c>
      <c r="Q16" s="186">
        <v>9</v>
      </c>
      <c r="R16" s="186">
        <v>5</v>
      </c>
      <c r="S16" s="186">
        <v>95</v>
      </c>
      <c r="T16" s="186">
        <v>323</v>
      </c>
      <c r="U16" s="186">
        <v>305</v>
      </c>
      <c r="V16" s="186">
        <v>121</v>
      </c>
      <c r="W16" s="186">
        <v>31</v>
      </c>
      <c r="X16" s="192">
        <v>183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95</v>
      </c>
      <c r="AZ16" s="127">
        <f t="shared" si="9"/>
        <v>323</v>
      </c>
      <c r="BA16" s="127">
        <f t="shared" si="9"/>
        <v>305</v>
      </c>
      <c r="BB16" s="127">
        <f t="shared" si="9"/>
        <v>121</v>
      </c>
      <c r="BC16" s="125">
        <f>IF(ISNUMBER(W16),W16," - ")</f>
        <v>31</v>
      </c>
      <c r="BD16" s="126">
        <f t="shared" ref="BD16" si="11">IF(ISNUMBER(BA16/AZ16),BA16/AZ16," - ")</f>
        <v>0.94427244582043346</v>
      </c>
      <c r="BE16" s="127">
        <f t="shared" ref="BE16" si="12">IF(ISNUMBER(BB16/BA16),BB16/BA16, " - ")</f>
        <v>0.39672131147540984</v>
      </c>
      <c r="BF16" s="127">
        <f t="shared" ref="BF16" si="13">IF(ISNUMBER(BC16/BA16),BC16/BA16, " - ")</f>
        <v>0.10163934426229508</v>
      </c>
      <c r="BG16" s="199">
        <f t="shared" si="10"/>
        <v>1.3704918032786886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v>
      </c>
      <c r="J17" s="186">
        <v>7</v>
      </c>
      <c r="K17" s="186">
        <v>5</v>
      </c>
      <c r="L17" s="186">
        <v>3</v>
      </c>
      <c r="M17" s="186">
        <v>1</v>
      </c>
      <c r="N17" s="186">
        <v>7</v>
      </c>
      <c r="O17" s="186">
        <v>0</v>
      </c>
      <c r="P17" s="186">
        <v>0</v>
      </c>
      <c r="Q17" s="186">
        <v>0</v>
      </c>
      <c r="R17" s="186">
        <v>0</v>
      </c>
      <c r="S17" s="186">
        <v>5</v>
      </c>
      <c r="T17" s="186">
        <v>16</v>
      </c>
      <c r="U17" s="186">
        <v>20</v>
      </c>
      <c r="V17" s="186">
        <v>1</v>
      </c>
      <c r="W17" s="186">
        <v>1</v>
      </c>
      <c r="X17" s="192">
        <v>15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v>
      </c>
      <c r="AZ17" s="129">
        <f t="shared" si="14"/>
        <v>16</v>
      </c>
      <c r="BA17" s="129">
        <f t="shared" si="14"/>
        <v>20</v>
      </c>
      <c r="BB17" s="129">
        <f t="shared" si="14"/>
        <v>1</v>
      </c>
      <c r="BC17" s="125">
        <f>IF(ISNUMBER(W17),W17," - ")</f>
        <v>1</v>
      </c>
      <c r="BD17" s="126">
        <f>IF(ISNUMBER(BA17/AZ17),BA17/AZ17," - ")</f>
        <v>1.25</v>
      </c>
      <c r="BE17" s="127">
        <f>IF(ISNUMBER(BB17/BA17),BB17/BA17, " - ")</f>
        <v>0.05</v>
      </c>
      <c r="BF17" s="127">
        <f>IF(ISNUMBER(BC17/BA17),BC17/BA17, " - ")</f>
        <v>0.05</v>
      </c>
      <c r="BG17" s="199">
        <f>IF(ISNUMBER((AY17+AZ17)/BA17),(AY17+AZ17)/BA17," - ")</f>
        <v>1.05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122</v>
      </c>
      <c r="J18" s="187">
        <f t="shared" si="15"/>
        <v>253</v>
      </c>
      <c r="K18" s="187">
        <f t="shared" si="15"/>
        <v>229</v>
      </c>
      <c r="L18" s="187">
        <f t="shared" si="15"/>
        <v>149</v>
      </c>
      <c r="M18" s="187">
        <f t="shared" si="15"/>
        <v>22</v>
      </c>
      <c r="N18" s="187">
        <f t="shared" si="15"/>
        <v>148</v>
      </c>
      <c r="O18" s="187">
        <f t="shared" si="15"/>
        <v>6</v>
      </c>
      <c r="P18" s="187">
        <f t="shared" si="15"/>
        <v>6</v>
      </c>
      <c r="Q18" s="187">
        <f t="shared" si="15"/>
        <v>9</v>
      </c>
      <c r="R18" s="187">
        <f t="shared" si="15"/>
        <v>5</v>
      </c>
      <c r="S18" s="187">
        <f t="shared" si="15"/>
        <v>100</v>
      </c>
      <c r="T18" s="187">
        <f t="shared" si="15"/>
        <v>339</v>
      </c>
      <c r="U18" s="187">
        <f t="shared" si="15"/>
        <v>325</v>
      </c>
      <c r="V18" s="187">
        <f t="shared" si="15"/>
        <v>122</v>
      </c>
      <c r="W18" s="187">
        <f t="shared" si="15"/>
        <v>32</v>
      </c>
      <c r="X18" s="187">
        <f t="shared" si="15"/>
        <v>198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100</v>
      </c>
      <c r="AZ18" s="187">
        <f>SUBTOTAL(9,AZ14:AZ17)</f>
        <v>339</v>
      </c>
      <c r="BA18" s="187">
        <f>SUBTOTAL(9,BA14:BA17)</f>
        <v>325</v>
      </c>
      <c r="BB18" s="187">
        <f>SUBTOTAL(9,BB14:BB17)</f>
        <v>122</v>
      </c>
      <c r="BC18" s="187">
        <f>SUBTOTAL(9,BC14:BC17)</f>
        <v>32</v>
      </c>
      <c r="BD18" s="208">
        <f>IF(ISNUMBER(BA18/AZ18),BA18/AZ18," - ")</f>
        <v>0.95870206489675514</v>
      </c>
      <c r="BE18" s="209">
        <f>IF(ISNUMBER(BB18/BA18),BB18/BA18, " - ")</f>
        <v>0.37538461538461537</v>
      </c>
      <c r="BF18" s="209">
        <f>IF(ISNUMBER(BC18/BA18),BC18/BA18, " - ")</f>
        <v>9.8461538461538461E-2</v>
      </c>
      <c r="BG18" s="210">
        <f>IF(ISNUMBER((AY18+AZ18)/BA18),(AY18+AZ18)/BA18," - ")</f>
        <v>1.3507692307692307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229</v>
      </c>
      <c r="J19" s="134">
        <f t="shared" si="18"/>
        <v>585</v>
      </c>
      <c r="K19" s="134">
        <f t="shared" si="18"/>
        <v>515</v>
      </c>
      <c r="L19" s="134">
        <f t="shared" si="18"/>
        <v>302</v>
      </c>
      <c r="M19" s="134">
        <f t="shared" si="18"/>
        <v>66</v>
      </c>
      <c r="N19" s="134">
        <f t="shared" si="18"/>
        <v>318</v>
      </c>
      <c r="O19" s="134">
        <f t="shared" si="18"/>
        <v>154</v>
      </c>
      <c r="P19" s="134">
        <f t="shared" si="18"/>
        <v>82</v>
      </c>
      <c r="Q19" s="134">
        <f t="shared" si="18"/>
        <v>70</v>
      </c>
      <c r="R19" s="134">
        <f t="shared" si="18"/>
        <v>268</v>
      </c>
      <c r="S19" s="134">
        <f t="shared" si="18"/>
        <v>207</v>
      </c>
      <c r="T19" s="134">
        <f t="shared" si="18"/>
        <v>629</v>
      </c>
      <c r="U19" s="134">
        <f t="shared" si="18"/>
        <v>615</v>
      </c>
      <c r="V19" s="134">
        <f t="shared" si="18"/>
        <v>229</v>
      </c>
      <c r="W19" s="134">
        <f t="shared" si="18"/>
        <v>105</v>
      </c>
      <c r="X19" s="134">
        <f t="shared" si="18"/>
        <v>357</v>
      </c>
      <c r="Y19" s="134">
        <f t="shared" si="18"/>
        <v>4</v>
      </c>
      <c r="Z19" s="134">
        <f t="shared" si="18"/>
        <v>30</v>
      </c>
      <c r="AA19" s="134">
        <f t="shared" si="18"/>
        <v>32</v>
      </c>
      <c r="AB19" s="134">
        <f t="shared" si="18"/>
        <v>2</v>
      </c>
      <c r="AC19" s="134">
        <f t="shared" si="18"/>
        <v>0</v>
      </c>
      <c r="AD19" s="134">
        <f t="shared" si="18"/>
        <v>0</v>
      </c>
      <c r="AE19" s="134">
        <f t="shared" si="18"/>
        <v>0</v>
      </c>
      <c r="AF19" s="134">
        <f t="shared" si="18"/>
        <v>0</v>
      </c>
      <c r="AG19" s="134">
        <f t="shared" si="18"/>
        <v>7</v>
      </c>
      <c r="AH19" s="134">
        <f t="shared" si="18"/>
        <v>47</v>
      </c>
      <c r="AI19" s="134">
        <f t="shared" si="18"/>
        <v>50</v>
      </c>
      <c r="AJ19" s="134">
        <f t="shared" si="18"/>
        <v>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214</v>
      </c>
      <c r="AZ19" s="134">
        <f>SUBTOTAL(9,AZ9:AZ18)</f>
        <v>676</v>
      </c>
      <c r="BA19" s="134">
        <f>SUBTOTAL(9,BA9:BA18)</f>
        <v>665</v>
      </c>
      <c r="BB19" s="134">
        <f>SUBTOTAL(9,BB9:BB18)</f>
        <v>233</v>
      </c>
      <c r="BC19" s="135">
        <f>SUBTOTAL(9,BC9:BC18)</f>
        <v>192</v>
      </c>
      <c r="BD19" s="216">
        <f>IF(ISNUMBER(BA19/AZ19),BA19/AZ19," - ")</f>
        <v>0.98372781065088755</v>
      </c>
      <c r="BE19" s="213">
        <f>IF(ISNUMBER(BB19/BA19),BB19/BA19, " - ")</f>
        <v>0.35037593984962406</v>
      </c>
      <c r="BF19" s="213">
        <f>IF(ISNUMBER(BC19/BA19),BC19/BA19, " - ")</f>
        <v>0.28872180451127821</v>
      </c>
      <c r="BG19" s="135">
        <f>IF(ISNUMBER((AY19+AZ19)/BA19),(AY19+AZ19)/BA19," - ")</f>
        <v>1.3383458646616542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YAhFpzMyHgpvJGqprbLBkSP9hUhcsnu1o7uArUQ/Y3UW4mRWFKJ/gKRt5qU0iS31HKyn6nUjqPjPova95p0xQ==" saltValue="zzNhgYTFgjhNaao3PdPA4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wuidZQKc7xDnx1sifLylsIAm7yR+0ZJMYeBiSP+kREqWkqHlGK1k/G0LXtG3S5t9l27aJz1QQJbiFkLed2mUA==" saltValue="SpaUFqdVo/VxYTOCvWjd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SALAMANCA  Resumenes por Partidos Judiciales  VITIGUDINO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v>
      </c>
      <c r="O12" s="337"/>
      <c r="P12" s="337"/>
      <c r="Q12" s="229">
        <f>IF(ISNUMBER(Datos!P12),Datos!P12,0)</f>
        <v>76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v>
      </c>
      <c r="AI12" s="337" t="str">
        <f>IF(ISNUMBER(Datos!CD12),Datos!CD12,"-")</f>
        <v>-</v>
      </c>
      <c r="AJ12" s="337" t="str">
        <f>IF(ISNUMBER(Datos!EN12),Datos!EN12," - ")</f>
        <v xml:space="preserve"> - </v>
      </c>
      <c r="AK12" s="337"/>
      <c r="AL12" s="482"/>
      <c r="AM12" s="338">
        <f>IF(ISNUMBER(Datos!R12),Datos!R12," - ")</f>
        <v>263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44</v>
      </c>
      <c r="BD12" s="232">
        <f>IF(ISNUMBER(Datos!N12),Datos!N12," - ")</f>
        <v>170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0.87845303867403313</v>
      </c>
      <c r="BH12" s="263">
        <f>IF(ISNUMBER(((IF(J_V="SI",Datos!L12/Datos!K12,(Datos!L12+Datos!AB12)/(Datos!K12+Datos!AA12)))*11)/factor_trimestre),((IF(J_V="SI",Datos!L12/Datos!K12,(Datos!L12+Datos!AB12)/(Datos!K12+Datos!AA12)))*11)/factor_trimestre," - ")</f>
        <v>5.3616352201257858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6.0483870967741937E-2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30</v>
      </c>
      <c r="O13" s="903">
        <f t="shared" si="0"/>
        <v>0</v>
      </c>
      <c r="P13" s="903">
        <f t="shared" si="0"/>
        <v>0</v>
      </c>
      <c r="Q13" s="902">
        <f t="shared" si="0"/>
        <v>76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61</v>
      </c>
      <c r="AD13" s="902">
        <f t="shared" si="1"/>
        <v>0</v>
      </c>
      <c r="AE13" s="902">
        <f t="shared" si="1"/>
        <v>0</v>
      </c>
      <c r="AF13" s="902">
        <f t="shared" si="1"/>
        <v>0</v>
      </c>
      <c r="AG13" s="902">
        <f t="shared" si="1"/>
        <v>0</v>
      </c>
      <c r="AH13" s="902">
        <f t="shared" si="1"/>
        <v>2</v>
      </c>
      <c r="AI13" s="902">
        <f t="shared" si="1"/>
        <v>0</v>
      </c>
      <c r="AJ13" s="902">
        <f t="shared" si="1"/>
        <v>0</v>
      </c>
      <c r="AK13" s="902">
        <f t="shared" si="1"/>
        <v>0</v>
      </c>
      <c r="AL13" s="902">
        <f t="shared" si="1"/>
        <v>0</v>
      </c>
      <c r="AM13" s="902">
        <f t="shared" si="1"/>
        <v>263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44</v>
      </c>
      <c r="BD13" s="902">
        <f t="shared" si="1"/>
        <v>170</v>
      </c>
      <c r="BE13" s="902">
        <f t="shared" si="1"/>
        <v>0</v>
      </c>
      <c r="BF13" s="902">
        <f t="shared" si="1"/>
        <v>0</v>
      </c>
      <c r="BG13" s="902">
        <f>IF(ISNUMBER(Datos!K13/Datos!J13),Datos!K13/Datos!J13," - ")</f>
        <v>0.86144578313253017</v>
      </c>
      <c r="BH13" s="906">
        <f>IF(ISNUMBER(((Datos!L13/Datos!K13)*11)/factor_trimestre),((Datos!L13/Datos!K13)*11)/factor_trimestre," - ")</f>
        <v>5.884615384615385</v>
      </c>
      <c r="BI13" s="902">
        <f>IF(ISNUMBER('Resol  Asuntos'!D13/NºAsuntos!G13),'Resol  Asuntos'!D13/NºAsuntos!G13," - ")</f>
        <v>0.13836477987421383</v>
      </c>
      <c r="BJ13" s="902" t="str">
        <f>IF(ISNUMBER(Datos!CI13/Datos!CJ13),Datos!CI13/Datos!CJ13," - ")</f>
        <v xml:space="preserve"> - </v>
      </c>
      <c r="BK13" s="902">
        <f>SUBTOTAL(9,BK8:BK12)</f>
        <v>0</v>
      </c>
      <c r="BL13" s="902" t="str">
        <f>IF(ISNUMBER((I13-AB13+L13)/(F13)),(I13-AB13+L13)/(F13)," - ")</f>
        <v xml:space="preserve"> - </v>
      </c>
      <c r="BM13" s="907">
        <f>SUBTOTAL(9,BM9:BM12)</f>
        <v>6.0483870967741937E-2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124</v>
      </c>
      <c r="G16" s="601">
        <f>IF(ISNUMBER(IF(D_I="SI",Datos!I16,Datos!I16+Datos!AC16)),IF(D_I="SI",Datos!I16,Datos!I16+Datos!AC16)," - ")</f>
        <v>121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224</v>
      </c>
      <c r="AC16" s="229">
        <f>IF(ISNUMBER(Datos!Q16),Datos!Q16," - ")</f>
        <v>9</v>
      </c>
      <c r="AD16" s="337"/>
      <c r="AE16" s="487"/>
      <c r="AF16" s="599">
        <f>IF(ISNUMBER(IF(D_I="SI",Datos!L16,Datos!L16+Datos!AF16)),IF(D_I="SI",Datos!L16,Datos!L16+Datos!AF16)," - ")</f>
        <v>146</v>
      </c>
      <c r="AG16" s="337"/>
      <c r="AH16" s="337"/>
      <c r="AI16" s="337"/>
      <c r="AJ16" s="337"/>
      <c r="AK16" s="337"/>
      <c r="AL16" s="482"/>
      <c r="AM16" s="338">
        <f>IF(ISNUMBER(Datos!R16),Datos!R16," - ")</f>
        <v>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v>
      </c>
      <c r="BD16" s="232">
        <f>IF(ISNUMBER(Datos!N16),Datos!N16," - ")</f>
        <v>141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0.91056910569105687</v>
      </c>
      <c r="BH16" s="263">
        <f>IF(ISNUMBER(((IF(D_I="SI",Datos!L16/Datos!K16,(Datos!L16+Datos!AF16)/(Datos!K16+Datos!AE16)))*11)/factor_trimestre),((IF(D_I="SI",Datos!L16/Datos!K16,(Datos!L16+Datos!AF16)/(Datos!K16+Datos!AE16)))*11)/factor_trimestre," - ")</f>
        <v>7.1696428571428577</v>
      </c>
      <c r="BI16" s="246">
        <f>IF(ISNUMBER('Resol  Asuntos'!D16/NºAsuntos!G16),'Resol  Asuntos'!D16/NºAsuntos!G16," - ")</f>
        <v>9.375E-2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v>
      </c>
      <c r="AC17" s="229">
        <f>IF(ISNUMBER(Datos!Q17),Datos!Q17," - ")</f>
        <v>0</v>
      </c>
      <c r="AD17" s="337"/>
      <c r="AE17" s="487"/>
      <c r="AF17" s="335">
        <f>IF(ISNUMBER(Datos!L17),Datos!L17,"-")</f>
        <v>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0.7142857142857143</v>
      </c>
      <c r="BH17" s="263">
        <f>IF(ISNUMBER(((IF(D_I="SI",Datos!L17/Datos!K17,(Datos!L17+Datos!AF17)/(Datos!K17+Datos!AE17)))*11)/factor_trimestre),((IF(D_I="SI",Datos!L17/Datos!K17,(Datos!L17+Datos!AF17)/(Datos!K17+Datos!AE17)))*11)/factor_trimestre," - ")</f>
        <v>6.6</v>
      </c>
      <c r="BI17" s="246">
        <f>IF(ISNUMBER('Resol  Asuntos'!D17/NºAsuntos!G17),'Resol  Asuntos'!D17/NºAsuntos!G17," - ")</f>
        <v>0.2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124</v>
      </c>
      <c r="G18" s="901">
        <f>SUBTOTAL(9,G15:G17)</f>
        <v>122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229</v>
      </c>
      <c r="AC18" s="902">
        <f t="shared" si="4"/>
        <v>9</v>
      </c>
      <c r="AD18" s="902">
        <f t="shared" si="4"/>
        <v>0</v>
      </c>
      <c r="AE18" s="902">
        <f t="shared" si="4"/>
        <v>0</v>
      </c>
      <c r="AF18" s="902">
        <f t="shared" si="4"/>
        <v>149</v>
      </c>
      <c r="AG18" s="902">
        <f t="shared" si="4"/>
        <v>0</v>
      </c>
      <c r="AH18" s="902">
        <f t="shared" si="4"/>
        <v>0</v>
      </c>
      <c r="AI18" s="902">
        <f t="shared" si="4"/>
        <v>0</v>
      </c>
      <c r="AJ18" s="902">
        <f t="shared" si="4"/>
        <v>0</v>
      </c>
      <c r="AK18" s="902">
        <f t="shared" si="4"/>
        <v>0</v>
      </c>
      <c r="AL18" s="902">
        <f t="shared" si="4"/>
        <v>0</v>
      </c>
      <c r="AM18" s="902">
        <f t="shared" si="4"/>
        <v>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22</v>
      </c>
      <c r="BD18" s="902">
        <f t="shared" si="4"/>
        <v>148</v>
      </c>
      <c r="BE18" s="902">
        <f t="shared" si="4"/>
        <v>0</v>
      </c>
      <c r="BF18" s="902">
        <f t="shared" si="4"/>
        <v>0</v>
      </c>
      <c r="BG18" s="902">
        <f>IF(ISNUMBER(Datos!K18/Datos!J18),Datos!K18/Datos!J18," - ")</f>
        <v>0.90513833992094861</v>
      </c>
      <c r="BH18" s="906">
        <f>IF(ISNUMBER(((Datos!L18/Datos!K18)*11)/factor_trimestre),((Datos!L18/Datos!K18)*11)/factor_trimestre," - ")</f>
        <v>7.1572052401746724</v>
      </c>
      <c r="BI18" s="902">
        <f>SUBTOTAL(9,BI15:BI17)</f>
        <v>0.29375000000000001</v>
      </c>
      <c r="BJ18" s="902">
        <f>SUBTOTAL(9,BJ15:BJ17)</f>
        <v>0</v>
      </c>
      <c r="BK18" s="902">
        <f>SUBTOTAL(9,BK15:BK17)</f>
        <v>0</v>
      </c>
      <c r="BL18" s="902">
        <f>IF(ISNUMBER((I18-AB18+L18)/(F18)),(I18-AB18+L18)/(F18)," - ")</f>
        <v>-1.846774193548387</v>
      </c>
      <c r="BM18" s="908">
        <f>IF(ISNUMBER((Datos!P18-Datos!Q18)/(Datos!R18-Datos!P18+Datos!Q18)),(Datos!P18-Datos!Q18)/(Datos!R18-Datos!P18+Datos!Q18)," - ")</f>
        <v>-0.375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124</v>
      </c>
      <c r="G19" s="823">
        <f t="shared" si="6"/>
        <v>122</v>
      </c>
      <c r="H19" s="825">
        <f t="shared" si="6"/>
        <v>0</v>
      </c>
      <c r="I19" s="823">
        <f t="shared" si="6"/>
        <v>0</v>
      </c>
      <c r="J19" s="825">
        <f t="shared" si="6"/>
        <v>0</v>
      </c>
      <c r="K19" s="825">
        <f t="shared" si="6"/>
        <v>0</v>
      </c>
      <c r="L19" s="884">
        <f t="shared" si="6"/>
        <v>0</v>
      </c>
      <c r="M19" s="884">
        <f t="shared" si="6"/>
        <v>0</v>
      </c>
      <c r="N19" s="884">
        <f t="shared" si="6"/>
        <v>30</v>
      </c>
      <c r="O19" s="884">
        <f t="shared" si="6"/>
        <v>0</v>
      </c>
      <c r="P19" s="884">
        <f t="shared" si="6"/>
        <v>0</v>
      </c>
      <c r="Q19" s="825">
        <f t="shared" si="6"/>
        <v>82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229</v>
      </c>
      <c r="AC19" s="824">
        <f t="shared" si="7"/>
        <v>70</v>
      </c>
      <c r="AD19" s="824">
        <f t="shared" si="7"/>
        <v>0</v>
      </c>
      <c r="AE19" s="824">
        <f t="shared" si="7"/>
        <v>0</v>
      </c>
      <c r="AF19" s="831">
        <f t="shared" si="7"/>
        <v>149</v>
      </c>
      <c r="AG19" s="831">
        <f t="shared" si="7"/>
        <v>0</v>
      </c>
      <c r="AH19" s="831">
        <f t="shared" si="7"/>
        <v>2</v>
      </c>
      <c r="AI19" s="831">
        <f t="shared" si="7"/>
        <v>0</v>
      </c>
      <c r="AJ19" s="824">
        <f t="shared" si="7"/>
        <v>0</v>
      </c>
      <c r="AK19" s="831">
        <f t="shared" si="7"/>
        <v>0</v>
      </c>
      <c r="AL19" s="831">
        <f t="shared" si="7"/>
        <v>0</v>
      </c>
      <c r="AM19" s="831">
        <f t="shared" si="7"/>
        <v>268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66</v>
      </c>
      <c r="BD19" s="823">
        <f t="shared" si="7"/>
        <v>318</v>
      </c>
      <c r="BE19" s="823">
        <f t="shared" si="7"/>
        <v>0</v>
      </c>
      <c r="BF19" s="833">
        <f t="shared" si="7"/>
        <v>0</v>
      </c>
      <c r="BG19" s="918">
        <f>IF(ISNUMBER(Datos!K19/Datos!J19),Datos!K19/Datos!J19," - ")</f>
        <v>0.88034188034188032</v>
      </c>
      <c r="BH19" s="918">
        <f>IF(ISNUMBER(((Datos!L19/Datos!K19)*11)/factor_trimestre),((Datos!L19/Datos!K19)*11)/factor_trimestre," - ")</f>
        <v>6.4504854368932039</v>
      </c>
      <c r="BI19" s="816">
        <f>IF(ISNUMBER(Datos!J19/Datos!I19),Datos!J19/Datos!I19," - ")</f>
        <v>2.554585152838428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-1.846774193548387</v>
      </c>
      <c r="BM19" s="892">
        <f>IF(ISNUMBER((Datos!P19-Datos!Q19+R19)/(Datos!R19-Datos!P19+Datos!Q19-R19)),(Datos!P19-Datos!Q19+R19)/(Datos!R19-Datos!P19+Datos!Q19-R19)," - ")</f>
        <v>4.6875E-2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71.591433379513589</v>
      </c>
      <c r="G21" s="555">
        <f>IF(ISNUMBER(STDEV(G8:G18)),STDEV(G8:G18),"-")</f>
        <v>66.367913934370421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123.17589049810032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19.462785001124583</v>
      </c>
      <c r="BD21" s="554"/>
      <c r="BE21" s="554">
        <f>IF(ISNUMBER(STDEV(BE8:BE18)),STDEV(BE8:BE18),"-")</f>
        <v>0</v>
      </c>
      <c r="BF21" s="559">
        <f>IF(ISNUMBER(STDEV(BF8:BF18)),STDEV(BF8:BF18),"-")</f>
        <v>0</v>
      </c>
      <c r="BG21" s="778">
        <f>IF(ISNUMBER(STDEV(BG8:BG18)),STDEV(BG8:BG18),"-")</f>
        <v>8.0604999247052736E-2</v>
      </c>
      <c r="BH21" s="779">
        <f>IF(ISNUMBER(STDEV(BH8:BH18)),STDEV(BH8:BH18),"-")</f>
        <v>0.79742397584762836</v>
      </c>
      <c r="BI21" s="252">
        <f>IF(ISNUMBER(STDEV(BI8:BI18)),STDEV(BI8:BI18),"-")</f>
        <v>8.6608347642667394E-2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lZuVjYdDHnEdUOZx/QIquutCCB1Ni4yr69Q1Zd4aQ493ehPo6FWcliEjpgOBmecTVmRtggLvo1Pw777PNS5nOQ==" saltValue="ysCFjgfyf0iSa+o/W6KU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SALAMANCA  Resumenes por Partidos Judiciales  VITIGUDINO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61</v>
      </c>
      <c r="AA12" s="335" t="str">
        <f>IF(ISNUMBER(IF(J_V="SI",Datos!L12,Datos!L12+Datos!AB12)-IF(Monitorios="SI",Datos!CD12,0)),
                          IF(J_V="SI",Datos!L12,Datos!L12+Datos!AB12)-IF(Monitorios="SI",Datos!CD12,0),
                          " - ")</f>
        <v xml:space="preserve"> - </v>
      </c>
      <c r="AB12" s="337"/>
      <c r="AC12" s="337"/>
      <c r="AD12" s="487"/>
      <c r="AE12" s="487">
        <f>IF(ISNUMBER(Datos!R12),Datos!R12," - ")</f>
        <v>263</v>
      </c>
      <c r="AF12" s="232" t="str">
        <f>IF(ISNUMBER(Datos!BV12),Datos!BV12," - ")</f>
        <v xml:space="preserve"> - </v>
      </c>
      <c r="AG12" s="228" t="str">
        <f>IF(ISNUMBER(Datos!DV12),Datos!DV12," - ")</f>
        <v xml:space="preserve"> - </v>
      </c>
      <c r="AH12" s="301"/>
      <c r="AI12" s="230"/>
      <c r="AJ12" s="228">
        <f>IF(ISNUMBER(Datos!M12),Datos!M12," - ")</f>
        <v>44</v>
      </c>
      <c r="AK12" s="232">
        <f>IF(ISNUMBER(Datos!N12),Datos!N12," - ")</f>
        <v>170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5.3616352201257858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6.0483870967741937E-2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76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61</v>
      </c>
      <c r="AA13" s="903">
        <f t="shared" si="2"/>
        <v>0</v>
      </c>
      <c r="AB13" s="903">
        <f t="shared" si="2"/>
        <v>0</v>
      </c>
      <c r="AC13" s="903">
        <f t="shared" si="2"/>
        <v>0</v>
      </c>
      <c r="AD13" s="903">
        <f t="shared" si="2"/>
        <v>0</v>
      </c>
      <c r="AE13" s="903">
        <f t="shared" si="2"/>
        <v>263</v>
      </c>
      <c r="AF13" s="911">
        <f t="shared" si="2"/>
        <v>0</v>
      </c>
      <c r="AG13" s="911">
        <f t="shared" si="2"/>
        <v>0</v>
      </c>
      <c r="AH13" s="911">
        <f t="shared" si="2"/>
        <v>0</v>
      </c>
      <c r="AI13" s="911">
        <f t="shared" si="2"/>
        <v>0</v>
      </c>
      <c r="AJ13" s="911">
        <f t="shared" si="2"/>
        <v>44</v>
      </c>
      <c r="AK13" s="911">
        <f t="shared" si="2"/>
        <v>170</v>
      </c>
      <c r="AL13" s="911">
        <f t="shared" si="2"/>
        <v>0</v>
      </c>
      <c r="AM13" s="911">
        <f t="shared" si="2"/>
        <v>0</v>
      </c>
      <c r="AN13" s="911">
        <f t="shared" si="2"/>
        <v>0</v>
      </c>
      <c r="AO13" s="907">
        <f>IF(ISNUMBER(((NºAsuntos!I13/NºAsuntos!G13)*11)/factor_trimestre),((NºAsuntos!I13/NºAsuntos!G13)*11)/factor_trimestre," - ")</f>
        <v>5.3616352201257858</v>
      </c>
      <c r="AP13" s="913" t="str">
        <f>IF(ISNUMBER(Datos!CI13/Datos!CJ13),Datos!CI13/Datos!CJ13," - ")</f>
        <v xml:space="preserve"> - </v>
      </c>
      <c r="AQ13" s="931">
        <f t="shared" ref="AQ13:AV13" si="3">SUBTOTAL(9,AQ9:AQ12)</f>
        <v>0</v>
      </c>
      <c r="AR13" s="931">
        <f t="shared" si="3"/>
        <v>6.0483870967741937E-2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124</v>
      </c>
      <c r="G16" s="228">
        <f>IF(ISNUMBER(IF(D_I="SI",Datos!I16,Datos!I16+Datos!AC16)),IF(D_I="SI",Datos!I16,Datos!I16+Datos!AC16)," - ")</f>
        <v>121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224</v>
      </c>
      <c r="Z16" s="622">
        <f>IF(ISNUMBER(Datos!Q16),Datos!Q16," - ")</f>
        <v>9</v>
      </c>
      <c r="AA16" s="335">
        <f>IF(ISNUMBER(IF(D_I="SI",Datos!L16,Datos!L16+Datos!AF16)),IF(D_I="SI",Datos!L16,Datos!L16+Datos!AF16)," - ")</f>
        <v>146</v>
      </c>
      <c r="AB16" s="337"/>
      <c r="AC16" s="337"/>
      <c r="AD16" s="487"/>
      <c r="AE16" s="487">
        <f>IF(ISNUMBER(Datos!R16),Datos!R16," - ")</f>
        <v>5</v>
      </c>
      <c r="AF16" s="232" t="str">
        <f>IF(ISNUMBER(Datos!BV16),Datos!BV16," - ")</f>
        <v xml:space="preserve"> - </v>
      </c>
      <c r="AG16" s="228"/>
      <c r="AH16" s="301"/>
      <c r="AI16" s="230"/>
      <c r="AJ16" s="228">
        <f>IF(ISNUMBER(Datos!M16),Datos!M16," - ")</f>
        <v>21</v>
      </c>
      <c r="AK16" s="232">
        <f>IF(ISNUMBER(Datos!N16),Datos!N16," - ")</f>
        <v>141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7.1696428571428577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v>
      </c>
      <c r="Z17" s="622">
        <f>IF(ISNUMBER(Datos!Q17),Datos!Q17," - ")</f>
        <v>0</v>
      </c>
      <c r="AA17" s="335">
        <f>IF(ISNUMBER(Datos!L17),Datos!L17,"-")</f>
        <v>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124</v>
      </c>
      <c r="G18" s="901">
        <f>SUBTOTAL(9,G15:G17)</f>
        <v>122</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229</v>
      </c>
      <c r="Z18" s="935">
        <f t="shared" si="5"/>
        <v>9</v>
      </c>
      <c r="AA18" s="935">
        <f t="shared" si="5"/>
        <v>149</v>
      </c>
      <c r="AB18" s="935">
        <f t="shared" si="5"/>
        <v>0</v>
      </c>
      <c r="AC18" s="935">
        <f t="shared" si="5"/>
        <v>0</v>
      </c>
      <c r="AD18" s="935">
        <f t="shared" si="5"/>
        <v>0</v>
      </c>
      <c r="AE18" s="935">
        <f t="shared" si="5"/>
        <v>5</v>
      </c>
      <c r="AF18" s="935">
        <f t="shared" si="5"/>
        <v>0</v>
      </c>
      <c r="AG18" s="935">
        <f t="shared" si="5"/>
        <v>0</v>
      </c>
      <c r="AH18" s="935">
        <f t="shared" si="5"/>
        <v>0</v>
      </c>
      <c r="AI18" s="935">
        <f t="shared" si="5"/>
        <v>0</v>
      </c>
      <c r="AJ18" s="935">
        <f t="shared" si="5"/>
        <v>22</v>
      </c>
      <c r="AK18" s="935">
        <f t="shared" si="5"/>
        <v>148</v>
      </c>
      <c r="AL18" s="935">
        <f t="shared" si="5"/>
        <v>0</v>
      </c>
      <c r="AM18" s="935">
        <f t="shared" si="5"/>
        <v>0</v>
      </c>
      <c r="AN18" s="935">
        <f t="shared" si="5"/>
        <v>0</v>
      </c>
      <c r="AO18" s="937">
        <f>IF(ISNUMBER(((NºAsuntos!I18/NºAsuntos!G18)*11)/factor_trimestre),((NºAsuntos!I18/NºAsuntos!G18)*11)/factor_trimestre," - ")</f>
        <v>7.1572052401746724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124</v>
      </c>
      <c r="G19" s="823">
        <f t="shared" si="7"/>
        <v>122</v>
      </c>
      <c r="H19" s="824">
        <f t="shared" si="7"/>
        <v>0</v>
      </c>
      <c r="I19" s="823">
        <f t="shared" si="7"/>
        <v>0</v>
      </c>
      <c r="J19" s="825">
        <f t="shared" si="7"/>
        <v>0</v>
      </c>
      <c r="K19" s="823">
        <f t="shared" si="7"/>
        <v>0</v>
      </c>
      <c r="L19" s="826">
        <f t="shared" si="7"/>
        <v>0</v>
      </c>
      <c r="M19" s="823">
        <f t="shared" si="7"/>
        <v>0</v>
      </c>
      <c r="N19" s="824">
        <f t="shared" si="7"/>
        <v>82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229</v>
      </c>
      <c r="Z19" s="830">
        <f t="shared" si="8"/>
        <v>70</v>
      </c>
      <c r="AA19" s="831">
        <f t="shared" si="8"/>
        <v>149</v>
      </c>
      <c r="AB19" s="831">
        <f t="shared" si="8"/>
        <v>0</v>
      </c>
      <c r="AC19" s="831">
        <f t="shared" si="8"/>
        <v>0</v>
      </c>
      <c r="AD19" s="832">
        <f t="shared" si="8"/>
        <v>0</v>
      </c>
      <c r="AE19" s="832">
        <f t="shared" si="8"/>
        <v>268</v>
      </c>
      <c r="AF19" s="833">
        <f t="shared" si="8"/>
        <v>0</v>
      </c>
      <c r="AG19" s="834">
        <f t="shared" si="8"/>
        <v>0</v>
      </c>
      <c r="AH19" s="835">
        <f t="shared" si="8"/>
        <v>0</v>
      </c>
      <c r="AI19" s="833">
        <f t="shared" si="8"/>
        <v>0</v>
      </c>
      <c r="AJ19" s="823">
        <f t="shared" si="8"/>
        <v>66</v>
      </c>
      <c r="AK19" s="823">
        <f t="shared" si="8"/>
        <v>318</v>
      </c>
      <c r="AL19" s="823">
        <f t="shared" si="8"/>
        <v>0</v>
      </c>
      <c r="AM19" s="836">
        <f t="shared" si="8"/>
        <v>0</v>
      </c>
      <c r="AN19" s="826">
        <f>IF(ISNUMBER(Datos!K19/Datos!J19),Datos!K19/Datos!J19," - ")</f>
        <v>0.88034188034188032</v>
      </c>
      <c r="AO19" s="826">
        <f>IF(ISNUMBER(FIND("06",Criterios!A8,1)),(IF(ISNUMBER(((Datos!R19/Datos!Q19)*11)/factor_trimestre),((Datos!R19/Datos!Q19)*11)/factor_trimestre," - ")),(IF(ISNUMBER(((Datos!L19/Datos!K19)*11)/factor_trimestre),((Datos!L19/Datos!K19)*11)/factor_trimestre," - ")))</f>
        <v>6.4504854368932039</v>
      </c>
      <c r="AP19" s="837" t="str">
        <f>IF(ISNUMBER(Datos!CI19/Datos!CJ19),Datos!CI19/Datos!CJ19," - ")</f>
        <v xml:space="preserve"> - </v>
      </c>
      <c r="AQ19" s="837">
        <f>IF(OR(ISNUMBER(FIND("01",Criterios!A8,1)),ISNUMBER(FIND("02",Criterios!A8,1)),ISNUMBER(FIND("03",Criterios!A8,1)),ISNUMBER(FIND("04",Criterios!A8,1))),(J19-Y19+K19)/(F19-K19),(I19-Y19+K19)/(F19-K19))</f>
        <v>-1.846774193548387</v>
      </c>
      <c r="AR19" s="837">
        <f>IF(ISNUMBER((Datos!P19-Datos!Q19+O19)/(Datos!R19-Datos!P19+Datos!Q19-O19)),(Datos!P19-Datos!Q19+O19)/(Datos!R19-Datos!P19+Datos!Q19-O19)," - ")</f>
        <v>4.6875E-2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71.591433379513589</v>
      </c>
      <c r="G21" s="555">
        <f>IF(ISNUMBER(STDEV(G8:G18)),STDEV(G8:G18),"-")</f>
        <v>66.367913934370421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19.462785001124583</v>
      </c>
      <c r="AK21" s="255"/>
      <c r="AL21" s="255">
        <f>IF(ISNUMBER(STDEV(AL8:AL18)),STDEV(AL8:AL18),"-")</f>
        <v>0</v>
      </c>
      <c r="AM21" s="257">
        <f>IF(ISNUMBER(STDEV(AM8:AM18)),STDEV(AM8:AM18),"-")</f>
        <v>0</v>
      </c>
      <c r="AN21" s="542">
        <f>IF(ISNUMBER(STDEV(AN8:AN18)),STDEV(AN8:AN18),"-")</f>
        <v>0</v>
      </c>
      <c r="AO21" s="543">
        <f>IF(ISNUMBER(STDEV(AO8:AO18)),STDEV(AO8:AO18),"-")</f>
        <v>0.91345899304715206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FniwRiSaN66KBxRf+UvXYrvxAq6wPuvFKikkJiGjecVzZat54E3f9OZlrgnfBPaRjx4c8aZW8Sce5QaXwrosQ==" saltValue="O1PAp9Fw6cis4oHlBNY8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olg/L//VmrfCH9KScwmygbbriOJOT//OUI7CIS278Zo4JdQteJ5bXxzkj5HOLkgZm41ksTQeIR4W5zDMO+4PQ==" saltValue="0uLjz91wf7PIhERFzYPj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oiA6yGiS2UlhC0fe9oDG4uF0mOat+d+8+Qj90AyE1e0CbKQrvBSFmj/frvQLZRrgQXJ/zbhWNT/qwB2B9WrVQ==" saltValue="f42Rt2im7xZZ6gvbdmnz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SALAMANCA  Resumenes por Partidos Judiciales  VITIGUDINO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0.13836477987421383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9.7838674126440525E-2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E4w2JiYEjS4hJtTPqXMD9P1HSNrorXKdHUA7l9eiFmNE1oOYjyU4OO/EzxbB52/p5jKzdDWcMRZAzdVLzxq9hA==" saltValue="7eTfQ61AMHAcynUinX/9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tM/vgAzL5VHBBp37VEsi5GUDNsOJErqNe9t2uxixveiq0L47biW8S6XCDu/AytZv0cHS9z2yUEXjTis85n7CA==" saltValue="rcDG340HsufhCeYgMjwe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SALAMANCA</v>
      </c>
      <c r="D3" s="378"/>
      <c r="E3" s="378"/>
      <c r="F3" s="378"/>
    </row>
    <row r="4" spans="1:14" ht="13.5" thickBot="1">
      <c r="A4" s="378"/>
      <c r="B4" s="394" t="str">
        <f>Criterios!A11 &amp;"  "&amp;Criterios!B11</f>
        <v>Resumenes por Partidos Judiciales  VITIGUDINO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111</v>
      </c>
      <c r="D12" s="407">
        <f>IF(ISNUMBER(C12/Datos!BH12),C12/Datos!BH12," - ")</f>
        <v>111</v>
      </c>
      <c r="E12" s="406">
        <f>IF(ISNUMBER(IF(J_V="SI",Datos!J12,Datos!J12+Datos!Z12)),IF(J_V="SI",Datos!J12,Datos!J12+Datos!Z12)," - ")</f>
        <v>362</v>
      </c>
      <c r="F12" s="407">
        <f>IF(ISNUMBER(E12/B12),E12/B12," - ")</f>
        <v>362</v>
      </c>
      <c r="G12" s="406">
        <f>IF(ISNUMBER(IF(J_V="SI",Datos!K12,Datos!K12+Datos!AA12)),IF(J_V="SI",Datos!K12,Datos!K12+Datos!AA12)," - ")</f>
        <v>318</v>
      </c>
      <c r="H12" s="407">
        <f>IF(ISNUMBER(G12/B12),G12/B12," - ")</f>
        <v>318</v>
      </c>
      <c r="I12" s="406">
        <f>IF(ISNUMBER(IF(J_V="SI",Datos!L12,Datos!L12+Datos!AB12)),IF(J_V="SI",Datos!L12,Datos!L12+Datos!AB12)," - ")</f>
        <v>155</v>
      </c>
      <c r="J12" s="407">
        <f>IF(ISNUMBER(I12/B12),I12/B12," - ")</f>
        <v>155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111</v>
      </c>
      <c r="D13" s="853" t="str">
        <f>IF(ISNUMBER(C13/Datos!BI13),C13/Datos!BI13," - ")</f>
        <v xml:space="preserve"> - </v>
      </c>
      <c r="E13" s="852">
        <f>SUBTOTAL(9,E8:E12)</f>
        <v>362</v>
      </c>
      <c r="F13" s="853">
        <f>IF(ISNUMBER(E13/B13),E13/B13," - ")</f>
        <v>362</v>
      </c>
      <c r="G13" s="852">
        <f>SUBTOTAL(9,G8:G12)</f>
        <v>318</v>
      </c>
      <c r="H13" s="853">
        <f>IF(ISNUMBER(G13/B13),G13/B13," - ")</f>
        <v>318</v>
      </c>
      <c r="I13" s="852">
        <f>SUBTOTAL(9,I8:I12)</f>
        <v>155</v>
      </c>
      <c r="J13" s="853">
        <f>IF(ISNUMBER(I13/B13),I13/B13," - ")</f>
        <v>155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121</v>
      </c>
      <c r="D16" s="407">
        <f>IF(ISNUMBER(C16/Datos!BH16),C16/Datos!BH16," - ")</f>
        <v>121</v>
      </c>
      <c r="E16" s="406">
        <f>IF(ISNUMBER(IF(D_I="SI",Datos!J16,Datos!J16+Datos!AD16)),IF(D_I="SI",Datos!J16,Datos!J16+Datos!AD16)," - ")</f>
        <v>246</v>
      </c>
      <c r="F16" s="407">
        <f>IF(ISNUMBER(E16/B16),E16/B16," - ")</f>
        <v>246</v>
      </c>
      <c r="G16" s="406">
        <f>IF(ISNUMBER(IF(D_I="SI",Datos!K16,Datos!K16+Datos!AE16)),IF(D_I="SI",Datos!K16,Datos!K16+Datos!AE16)," - ")</f>
        <v>224</v>
      </c>
      <c r="H16" s="407">
        <f>IF(ISNUMBER(G16/B16),G16/B16," - ")</f>
        <v>224</v>
      </c>
      <c r="I16" s="406">
        <f>IF(ISNUMBER(IF(D_I="SI",Datos!L16,Datos!L16+Datos!AF16)),IF(D_I="SI",Datos!L16,Datos!L16+Datos!AF16)," - ")</f>
        <v>146</v>
      </c>
      <c r="J16" s="407">
        <f>IF(ISNUMBER(I16/B16),I16/B16," - ")</f>
        <v>146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v>
      </c>
      <c r="D17" s="407">
        <f>IF(ISNUMBER(C17/Datos!BH17),C17/Datos!BH17," - ")</f>
        <v>1</v>
      </c>
      <c r="E17" s="406">
        <f>IF(ISNUMBER(IF(D_I="SI",Datos!J17,Datos!J17+Datos!AD17)),IF(D_I="SI",Datos!J17,Datos!J17+Datos!AD17)," - ")</f>
        <v>7</v>
      </c>
      <c r="F17" s="407">
        <f>IF(ISNUMBER(E17/B17),E17/B17," - ")</f>
        <v>7</v>
      </c>
      <c r="G17" s="406">
        <f>IF(ISNUMBER(IF(D_I="SI",Datos!K17,Datos!K17+Datos!AE17)),IF(D_I="SI",Datos!K17,Datos!K17+Datos!AE17)," - ")</f>
        <v>5</v>
      </c>
      <c r="H17" s="407">
        <f>IF(ISNUMBER(G17/B17),G17/B17," - ")</f>
        <v>5</v>
      </c>
      <c r="I17" s="406">
        <f>IF(ISNUMBER(IF(D_I="SI",Datos!L17,Datos!L17+Datos!AF17)),IF(D_I="SI",Datos!L17,Datos!L17+Datos!AF17)," - ")</f>
        <v>3</v>
      </c>
      <c r="J17" s="407">
        <f>IF(ISNUMBER(I17/B17),I17/B17," - ")</f>
        <v>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122</v>
      </c>
      <c r="D18" s="853" t="str">
        <f>IF(ISNUMBER(C18/Datos!BI18),C18/Datos!BI18," - ")</f>
        <v xml:space="preserve"> - </v>
      </c>
      <c r="E18" s="852">
        <f>SUBTOTAL(9,E14:E17)</f>
        <v>253</v>
      </c>
      <c r="F18" s="853">
        <f>IF(ISNUMBER(E18/B18),E18/B18," - ")</f>
        <v>253</v>
      </c>
      <c r="G18" s="852">
        <f>SUBTOTAL(9,G14:G17)</f>
        <v>229</v>
      </c>
      <c r="H18" s="853">
        <f>IF(ISNUMBER(G18/B18),G18/B18," - ")</f>
        <v>229</v>
      </c>
      <c r="I18" s="852">
        <f>SUBTOTAL(9,I14:I17)</f>
        <v>149</v>
      </c>
      <c r="J18" s="853">
        <f>IF(ISNUMBER(I18/B18),I18/B18," - ")</f>
        <v>149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233</v>
      </c>
      <c r="D19" s="798" t="str">
        <f>IF(ISNUMBER(C19/Datos!BI19),C19/Datos!BI19," - ")</f>
        <v xml:space="preserve"> - </v>
      </c>
      <c r="E19" s="797">
        <f>SUBTOTAL(9,E9:E18)</f>
        <v>615</v>
      </c>
      <c r="F19" s="798">
        <f>IF(ISNUMBER(E19/B19),E19/B19," - ")</f>
        <v>615</v>
      </c>
      <c r="G19" s="797">
        <f>SUBTOTAL(9,G9:G18)</f>
        <v>547</v>
      </c>
      <c r="H19" s="798">
        <f>IF(ISNUMBER(G19/B19),G19/B19," - ")</f>
        <v>547</v>
      </c>
      <c r="I19" s="797">
        <f>SUBTOTAL(9,I9:I18)</f>
        <v>304</v>
      </c>
      <c r="J19" s="798">
        <f>IF(ISNUMBER(I19/B19),I19/B19," - ")</f>
        <v>304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uvXXg3ynZKXQQMumQieB9U//59h2snzQ/Uw3bTbLk/d30FHmwtoZ2kMUd5USatQx/sa4gMtzBV8YZwnu/GLxQ==" saltValue="HcUKKJQXcCvmQ5DmLplh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SALAMANCA  Resumenes por Partidos Judiciales  VITIGUDINO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44</v>
      </c>
      <c r="AM12" s="693">
        <f>IF(ISNUMBER(Datos!N12+DatosP!N16),Datos!N12+DatosP!N16," - ")</f>
        <v>170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5.3616352201257858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6.0483870967741937E-2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76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61</v>
      </c>
      <c r="AE13" s="942">
        <f t="shared" si="1"/>
        <v>0</v>
      </c>
      <c r="AF13" s="942">
        <f t="shared" si="1"/>
        <v>0</v>
      </c>
      <c r="AG13" s="942">
        <f t="shared" si="1"/>
        <v>0</v>
      </c>
      <c r="AH13" s="942">
        <f t="shared" si="1"/>
        <v>263</v>
      </c>
      <c r="AI13" s="942">
        <f t="shared" si="1"/>
        <v>0</v>
      </c>
      <c r="AJ13" s="942">
        <f t="shared" si="1"/>
        <v>0</v>
      </c>
      <c r="AK13" s="942">
        <f t="shared" si="1"/>
        <v>0</v>
      </c>
      <c r="AL13" s="942">
        <f t="shared" si="1"/>
        <v>44</v>
      </c>
      <c r="AM13" s="942">
        <f t="shared" si="1"/>
        <v>170</v>
      </c>
      <c r="AN13" s="942">
        <f t="shared" si="1"/>
        <v>0</v>
      </c>
      <c r="AO13" s="942">
        <f t="shared" si="1"/>
        <v>0</v>
      </c>
      <c r="AP13" s="947">
        <f>IF(ISNUMBER(((Datos!L13/Datos!K13)*11)/factor_trimestre),((Datos!L13/Datos!K13)*11)/factor_trimestre," - ")</f>
        <v>5.884615384615385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6.0483870967741937E-2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7.1572052401746724</v>
      </c>
      <c r="AQ18" s="947">
        <f>IF(ISNUMBER(((Datos!M18/Datos!L18)*11)/factor_trimestre),((Datos!M18/Datos!L18)*11)/factor_trimestre," - ")</f>
        <v>1.6241610738255035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-0.375</v>
      </c>
      <c r="AW18" s="949">
        <f>IF(ISNUMBER((Datos!Q18-Datos!R18)/(Datos!S18-Datos!Q18+Datos!R18)),(Datos!Q18-Datos!R18)/(Datos!S18-Datos!Q18+Datos!R18)," - ")</f>
        <v>4.1666666666666664E-2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76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61</v>
      </c>
      <c r="AE19" s="960">
        <f t="shared" si="5"/>
        <v>0</v>
      </c>
      <c r="AF19" s="961">
        <f t="shared" si="5"/>
        <v>0</v>
      </c>
      <c r="AG19" s="961">
        <f t="shared" si="5"/>
        <v>0</v>
      </c>
      <c r="AH19" s="961">
        <f t="shared" si="5"/>
        <v>263</v>
      </c>
      <c r="AI19" s="961">
        <f t="shared" si="5"/>
        <v>0</v>
      </c>
      <c r="AJ19" s="962">
        <f t="shared" si="5"/>
        <v>0</v>
      </c>
      <c r="AK19" s="962">
        <f t="shared" si="5"/>
        <v>0</v>
      </c>
      <c r="AL19" s="954">
        <f t="shared" si="5"/>
        <v>44</v>
      </c>
      <c r="AM19" s="954">
        <f t="shared" si="5"/>
        <v>170</v>
      </c>
      <c r="AN19" s="954">
        <f t="shared" si="5"/>
        <v>0</v>
      </c>
      <c r="AO19" s="954">
        <f t="shared" si="5"/>
        <v>0</v>
      </c>
      <c r="AP19" s="954">
        <f>IF(ISNUMBER(((Datos!L19/Datos!K19)*11)/factor_trimestre),((Datos!L19/Datos!K19)*11)/factor_trimestre," - ")</f>
        <v>6.4504854368932039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4.6875E-2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25.403411844343534</v>
      </c>
      <c r="AM21" s="739"/>
      <c r="AN21" s="739">
        <f>IF(ISNUMBER(STDEV(AN8:AN18)),STDEV(AN8:AN18),"-")</f>
        <v>0</v>
      </c>
      <c r="AO21" s="745">
        <f>IF(ISNUMBER(STDEV(AO8:AO18)),STDEV(AO8:AO18),"-")</f>
        <v>0</v>
      </c>
      <c r="AP21" s="782">
        <f>IF(ISNUMBER(STDEV(AP8:AP18)),STDEV(AP8:AP18),"-")</f>
        <v>0.92349561358101917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EGC146PxHodYbNbdeAgJUpUVNzMtnr1/pMuO9gxf4qCOXz8jZfJpL4YVLRh9A7lQbE+SeS8F2AdpvbdaONgFA==" saltValue="H5C/B3CNkZsfrKgqYa4z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SALAMANCA</v>
      </c>
      <c r="C3" s="418"/>
      <c r="F3" s="378"/>
      <c r="G3" s="378"/>
      <c r="H3" s="378"/>
    </row>
    <row r="4" spans="1:15" ht="13.5" thickBot="1">
      <c r="A4" s="378"/>
      <c r="B4" s="394" t="str">
        <f>Criterios!A11 &amp;"  "&amp;Criterios!B11</f>
        <v>Resumenes por Partidos Judiciales  VITIGUDINO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UnRzlQZ4Wyr8Ex2FAJ4yL2QowPmFpKlFE+8VxzgYyrBgPfah7EIPW6BwkvaTBR/5P0v3nRxnzA3Wnhled6QxZg==" saltValue="mQnFB2/8ZWDIopy0Wvg3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SALAMANCA</v>
      </c>
      <c r="C3" s="394"/>
      <c r="D3" s="428"/>
    </row>
    <row r="4" spans="1:9" ht="13.5" thickBot="1">
      <c r="B4" s="394" t="str">
        <f>Criterios!A11 &amp;"  "&amp;Criterios!B11</f>
        <v>Resumenes por Partidos Judiciales  VITIGUDINO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44</v>
      </c>
      <c r="E12" s="407">
        <f t="shared" si="0"/>
        <v>44</v>
      </c>
      <c r="F12" s="406">
        <f>IF(ISNUMBER(Datos!N12),Datos!N12," - ")</f>
        <v>170</v>
      </c>
      <c r="G12" s="407">
        <f t="shared" si="1"/>
        <v>170</v>
      </c>
      <c r="H12" s="406">
        <f>IF(ISNUMBER(Datos!O12),Datos!O12," - ")</f>
        <v>148</v>
      </c>
      <c r="I12" s="407">
        <f t="shared" si="2"/>
        <v>148</v>
      </c>
    </row>
    <row r="13" spans="1:9" ht="14.25" thickTop="1" thickBot="1">
      <c r="A13" s="851" t="str">
        <f>Datos!A13</f>
        <v>TOTAL</v>
      </c>
      <c r="B13" s="852">
        <f>Datos!AO13</f>
        <v>2</v>
      </c>
      <c r="C13" s="854">
        <f>Datos!AR13</f>
        <v>1</v>
      </c>
      <c r="D13" s="852">
        <f>SUBTOTAL(9,D9:D12)</f>
        <v>44</v>
      </c>
      <c r="E13" s="853">
        <f t="shared" si="0"/>
        <v>22</v>
      </c>
      <c r="F13" s="852">
        <f>SUBTOTAL(9,F9:F12)</f>
        <v>170</v>
      </c>
      <c r="G13" s="853">
        <f t="shared" si="1"/>
        <v>85</v>
      </c>
      <c r="H13" s="852">
        <f>SUBTOTAL(9,H9:H12)</f>
        <v>148</v>
      </c>
      <c r="I13" s="853">
        <f>IF(ISNUMBER(H13/B13),H13/B13," - ")</f>
        <v>74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21</v>
      </c>
      <c r="E16" s="407">
        <f t="shared" si="3"/>
        <v>21</v>
      </c>
      <c r="F16" s="406">
        <f>IF(ISNUMBER(Datos!N16),Datos!N16," - ")</f>
        <v>141</v>
      </c>
      <c r="G16" s="407">
        <f t="shared" si="4"/>
        <v>141</v>
      </c>
      <c r="H16" s="406">
        <f>IF(ISNUMBER(Datos!O16),Datos!O16," - ")</f>
        <v>6</v>
      </c>
      <c r="I16" s="407">
        <f t="shared" si="5"/>
        <v>6</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7</v>
      </c>
      <c r="G17" s="407">
        <f>IF(ISNUMBER(F17/B17),F17/B17," - ")</f>
        <v>7</v>
      </c>
      <c r="H17" s="406">
        <f>IF(ISNUMBER(Datos!O17),Datos!O17," - ")</f>
        <v>0</v>
      </c>
      <c r="I17" s="407">
        <f t="shared" si="5"/>
        <v>0</v>
      </c>
    </row>
    <row r="18" spans="1:9" ht="14.25" thickTop="1" thickBot="1">
      <c r="A18" s="851" t="str">
        <f>Datos!A18</f>
        <v>TOTAL</v>
      </c>
      <c r="B18" s="852">
        <f>Datos!AO18</f>
        <v>2</v>
      </c>
      <c r="C18" s="854">
        <f>Datos!AR18</f>
        <v>1</v>
      </c>
      <c r="D18" s="852">
        <f>SUBTOTAL(9,D15:D17)</f>
        <v>22</v>
      </c>
      <c r="E18" s="853">
        <f t="shared" si="3"/>
        <v>11</v>
      </c>
      <c r="F18" s="852">
        <f>SUBTOTAL(9,F15:F17)</f>
        <v>148</v>
      </c>
      <c r="G18" s="853">
        <f t="shared" si="4"/>
        <v>74</v>
      </c>
      <c r="H18" s="852">
        <f>SUBTOTAL(9,H15:H17)</f>
        <v>6</v>
      </c>
      <c r="I18" s="853">
        <f>IF(ISNUMBER(H18/B18),H18/B18," - ")</f>
        <v>3</v>
      </c>
    </row>
    <row r="19" spans="1:9" ht="14.25" thickTop="1" thickBot="1">
      <c r="A19" s="796" t="str">
        <f>Datos!A19</f>
        <v>TOTAL JURISDICCIONES</v>
      </c>
      <c r="B19" s="797">
        <f>Datos!AP19</f>
        <v>1</v>
      </c>
      <c r="C19" s="797">
        <f>Datos!AR19</f>
        <v>1</v>
      </c>
      <c r="D19" s="797">
        <f>SUBTOTAL(9,D8:D18)</f>
        <v>66</v>
      </c>
      <c r="E19" s="798">
        <f>IF(ISNUMBER(D19/B19),D19/B19," - ")</f>
        <v>66</v>
      </c>
      <c r="F19" s="797">
        <f>SUBTOTAL(9,F8:F18)</f>
        <v>318</v>
      </c>
      <c r="G19" s="798">
        <f>IF(ISNUMBER(F19/B19),F19/B19," - ")</f>
        <v>318</v>
      </c>
      <c r="H19" s="797">
        <f>SUBTOTAL(9,H8:H18)</f>
        <v>154</v>
      </c>
      <c r="I19" s="798">
        <f>IF(ISNUMBER(H19/B19),H19/B19," - ")</f>
        <v>154</v>
      </c>
    </row>
    <row r="22" spans="1:9">
      <c r="A22" s="394" t="str">
        <f>Criterios!A4</f>
        <v>Fecha Informe: 03 may. 2024</v>
      </c>
    </row>
    <row r="27" spans="1:9">
      <c r="A27" s="417"/>
    </row>
  </sheetData>
  <sheetProtection algorithmName="SHA-512" hashValue="oP21nFcvioq9BimlCJYvAUbUoxWw3RCPH5BDUoUWP9bq/zmE8BknZ2+d3T7/sft9vkyJp9VkupcEa10mViWq9w==" saltValue="4ehlEmj5hLVzcIOQVmbt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SALAMANCA</v>
      </c>
    </row>
    <row r="4" spans="1:4" ht="13.5" thickBot="1">
      <c r="B4" s="394" t="str">
        <f>Criterios!A11 &amp;"  "&amp;Criterios!B11</f>
        <v>Resumenes por Partidos Judiciales  VITIGUDINO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76</v>
      </c>
      <c r="C12" s="437">
        <f>IF(ISNUMBER(Datos!Q12),Datos!Q12," - ")</f>
        <v>61</v>
      </c>
      <c r="D12" s="411">
        <f>IF(ISNUMBER(Datos!R12),Datos!R12," - ")</f>
        <v>263</v>
      </c>
    </row>
    <row r="13" spans="1:4" ht="14.25" thickTop="1" thickBot="1">
      <c r="A13" s="851" t="str">
        <f>Datos!A13</f>
        <v>TOTAL</v>
      </c>
      <c r="B13" s="852">
        <f>SUBTOTAL(9,B9:B12)</f>
        <v>76</v>
      </c>
      <c r="C13" s="856">
        <f>SUBTOTAL(9,C9:C12)</f>
        <v>61</v>
      </c>
      <c r="D13" s="854">
        <f>SUBTOTAL(9,D9:D12)</f>
        <v>263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9</v>
      </c>
      <c r="D16" s="411">
        <f>IF(ISNUMBER(Datos!R16),Datos!R16," - ")</f>
        <v>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9</v>
      </c>
      <c r="D18" s="854">
        <f>SUBTOTAL(9,D15:D17)</f>
        <v>5</v>
      </c>
    </row>
    <row r="19" spans="1:4" ht="16.5" customHeight="1" thickTop="1" thickBot="1">
      <c r="A19" s="796" t="str">
        <f>Datos!A19</f>
        <v>TOTAL JURISDICCIONES</v>
      </c>
      <c r="B19" s="801">
        <f>SUBTOTAL(9,B8:B18)</f>
        <v>82</v>
      </c>
      <c r="C19" s="802">
        <f>SUBTOTAL(9,C8:C18)</f>
        <v>70</v>
      </c>
      <c r="D19" s="803">
        <f>SUBTOTAL(9,D8:D18)</f>
        <v>268</v>
      </c>
    </row>
    <row r="20" spans="1:4" ht="7.5" customHeight="1"/>
    <row r="21" spans="1:4" ht="6" customHeight="1"/>
    <row r="22" spans="1:4">
      <c r="A22" s="394" t="str">
        <f>Criterios!A4</f>
        <v>Fecha Informe: 03 may. 2024</v>
      </c>
    </row>
    <row r="27" spans="1:4">
      <c r="A27" s="417"/>
    </row>
  </sheetData>
  <sheetProtection algorithmName="SHA-512" hashValue="eHDW2sa49gj+/wmUaQAR1+k7aOqhejVTYZ6SkdP3wSjCvjeX1liJ+QUbJAWU6WbYPypKHCRqCMrx4TsQtBcnwQ==" saltValue="dmhKdFpAWs6l+tbmzCJY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SALAMANCA</v>
      </c>
    </row>
    <row r="4" spans="1:11" ht="10.5" customHeight="1" thickBot="1">
      <c r="B4" s="394" t="str">
        <f>Criterios!A11 &amp;"  "&amp;Criterios!B11</f>
        <v>Resumenes por Partidos Judiciales  VITIGUDINO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-1</v>
      </c>
      <c r="D10" s="459">
        <f>IF(ISNUMBER((Datos!K10-Datos!U10)/Datos!U10),(Datos!K10-Datos!U10)/Datos!U10," - ")</f>
        <v>-1</v>
      </c>
      <c r="E10" s="459" t="str">
        <f>IF(ISNUMBER((Datos!L10-Datos!V10)/Datos!V10),(Datos!L10-Datos!V10)/Datos!V10," - ")</f>
        <v xml:space="preserve"> - </v>
      </c>
      <c r="F10" s="459">
        <f>IF(ISNUMBER((Datos!M10-Datos!W10)/Datos!W10),(Datos!M10-Datos!W10)/Datos!W10," - ")</f>
        <v>-1</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-2.6315789473684209E-2</v>
      </c>
      <c r="C12" s="459">
        <f>IF(ISNUMBER(
   IF(J_V="SI",(Datos!J12-Datos!T12)/Datos!T12,(Datos!J12+Datos!Z12-(Datos!T12+Datos!AH12))/(Datos!T12+Datos!AH12))
     ),IF(J_V="SI",(Datos!J12-Datos!T12)/Datos!T12,(Datos!J12+Datos!Z12-(Datos!T12+Datos!AH12))/(Datos!T12+Datos!AH12))," - ")</f>
        <v>7.7380952380952384E-2</v>
      </c>
      <c r="D12" s="459">
        <f>IF(ISNUMBER(
   IF(J_V="SI",(Datos!K12-Datos!U12)/Datos!U12,(Datos!K12+Datos!AA12-(Datos!U12+Datos!AI12))/(Datos!U12+Datos!AI12))
     ),IF(J_V="SI",(Datos!K12-Datos!U12)/Datos!U12,(Datos!K12+Datos!AA12-(Datos!U12+Datos!AI12))/(Datos!U12+Datos!AI12))," - ")</f>
        <v>-6.1946902654867256E-2</v>
      </c>
      <c r="E12" s="459">
        <f>IF(ISNUMBER(
   IF(J_V="SI",(Datos!L12-Datos!V12)/Datos!V12,(Datos!L12+Datos!AB12-(Datos!V12+Datos!AJ12))/(Datos!V12+Datos!AJ12))
     ),IF(J_V="SI",(Datos!L12-Datos!V12)/Datos!V12,(Datos!L12+Datos!AB12-(Datos!V12+Datos!AJ12))/(Datos!V12+Datos!AJ12))," - ")</f>
        <v>0.3963963963963964</v>
      </c>
      <c r="F12" s="459">
        <f>IF(ISNUMBER((Datos!M12-Datos!W12)/Datos!W12),(Datos!M12-Datos!W12)/Datos!W12," - ")</f>
        <v>-0.3888888888888889</v>
      </c>
      <c r="G12" s="460">
        <f>IF(ISNUMBER((Datos!N12-Datos!X12)/Datos!X12),(Datos!N12-Datos!X12)/Datos!X12," - ")</f>
        <v>6.9182389937106917E-2</v>
      </c>
      <c r="H12" s="458">
        <f>IF(ISNUMBER(((NºAsuntos!G12/NºAsuntos!E12)-Datos!BD12)/Datos!BD12),((NºAsuntos!G12/NºAsuntos!E12)-Datos!BD12)/Datos!BD12," - ")</f>
        <v>-0.12932088202219721</v>
      </c>
      <c r="I12" s="459">
        <f>IF(ISNUMBER(((NºAsuntos!I12/NºAsuntos!G12)-Datos!BE12)/Datos!BE12),((NºAsuntos!I12/NºAsuntos!G12)-Datos!BE12)/Datos!BE12," - ")</f>
        <v>0.48861125276219614</v>
      </c>
      <c r="J12" s="464">
        <f>IF(ISNUMBER((('Resol  Asuntos'!D12/NºAsuntos!G12)-Datos!BF12)/Datos!BF12),(('Resol  Asuntos'!D12/NºAsuntos!G12)-Datos!BF12)/Datos!BF12," - ")</f>
        <v>-0.70499584668327986</v>
      </c>
      <c r="K12" s="465">
        <f>IF(ISNUMBER((((NºAsuntos!C12+NºAsuntos!E12)/NºAsuntos!G12)-Datos!BG12)/Datos!BG12),(((NºAsuntos!C12+NºAsuntos!E12)/NºAsuntos!G12)-Datos!BG12)/Datos!BG12," - ")</f>
        <v>0.120524109014675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-2.6315789473684209E-2</v>
      </c>
      <c r="C13" s="858">
        <f>IF(ISNUMBER(
   IF(J_V="SI",(Datos!J13-Datos!T13)/Datos!T13,(Datos!J13+Datos!Z13-(Datos!T13+Datos!AH13))/(Datos!T13+Datos!AH13))
     ),IF(J_V="SI",(Datos!J13-Datos!T13)/Datos!T13,(Datos!J13+Datos!Z13-(Datos!T13+Datos!AH13))/(Datos!T13+Datos!AH13))," - ")</f>
        <v>7.418397626112759E-2</v>
      </c>
      <c r="D13" s="858">
        <f>IF(ISNUMBER(
   IF(J_V="SI",(Datos!K13-Datos!U13)/Datos!U13,(Datos!K13+Datos!AA13-(Datos!U13+Datos!AI13))/(Datos!U13+Datos!AI13))
     ),IF(J_V="SI",(Datos!K13-Datos!U13)/Datos!U13,(Datos!K13+Datos!AA13-(Datos!U13+Datos!AI13))/(Datos!U13+Datos!AI13))," - ")</f>
        <v>-6.4705882352941183E-2</v>
      </c>
      <c r="E13" s="858">
        <f>IF(ISNUMBER(
   IF(J_V="SI",(Datos!L13-Datos!V13)/Datos!V13,(Datos!L13+Datos!AB13-(Datos!V13+Datos!AJ13))/(Datos!V13+Datos!AJ13))
     ),IF(J_V="SI",(Datos!L13-Datos!V13)/Datos!V13,(Datos!L13+Datos!AB13-(Datos!V13+Datos!AJ13))/(Datos!V13+Datos!AJ13))," - ")</f>
        <v>0.3963963963963964</v>
      </c>
      <c r="F13" s="859">
        <f>IF(ISNUMBER((Datos!M13-Datos!W13)/Datos!W13),(Datos!M13-Datos!W13)/Datos!W13," - ")</f>
        <v>-0.39726027397260272</v>
      </c>
      <c r="G13" s="860">
        <f>IF(ISNUMBER((Datos!N13-Datos!X13)/Datos!X13),(Datos!N13-Datos!X13)/Datos!X13," - ")</f>
        <v>6.9182389937106917E-2</v>
      </c>
      <c r="H13" s="860">
        <f>IF(ISNUMBER(((NºAsuntos!G13/NºAsuntos!E13)-Datos!BD13)/Datos!BD13),((NºAsuntos!G13/NºAsuntos!E13)-Datos!BD13)/Datos!BD13," - ")</f>
        <v>-0.12929801754956127</v>
      </c>
      <c r="I13" s="860">
        <f>IF(ISNUMBER(((NºAsuntos!I13/NºAsuntos!G13)-Datos!BE13)/Datos!BE13),((NºAsuntos!I13/NºAsuntos!G13)-Datos!BE13)/Datos!BE13," - ")</f>
        <v>0.49300243639866281</v>
      </c>
      <c r="J13" s="860">
        <f>IF(ISNUMBER((('Resol  Asuntos'!D13/NºAsuntos!G13)-Datos!BF13)/Datos!BF13),(('Resol  Asuntos'!D13/NºAsuntos!G13)-Datos!BF13)/Datos!BF13," - ")</f>
        <v>-0.70597484276729561</v>
      </c>
      <c r="K13" s="860">
        <f>IF(ISNUMBER((((NºAsuntos!C13+NºAsuntos!E13)/NºAsuntos!G13)-Datos!BG13)/Datos!BG13),(((NºAsuntos!C13+NºAsuntos!E13)/NºAsuntos!G13)-Datos!BG13)/Datos!BG13," - ")</f>
        <v>0.12133762847062438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0.27368421052631581</v>
      </c>
      <c r="C16" s="459">
        <f>IF(ISNUMBER(
   IF(D_I="SI",(Datos!J16-Datos!T16)/Datos!T16,(Datos!J16+Datos!AD16-(Datos!T16+Datos!AL16))/(Datos!T16+Datos!AL16))
     ),IF(D_I="SI",(Datos!J16-Datos!T16)/Datos!T16,(Datos!J16+Datos!AD16-(Datos!T16+Datos!AL16))/(Datos!T16+Datos!AL16))," - ")</f>
        <v>-0.23839009287925697</v>
      </c>
      <c r="D16" s="459">
        <f>IF(ISNUMBER(
   IF(D_I="SI",(Datos!K16-Datos!U16)/Datos!U16,(Datos!K16+Datos!AE16-(Datos!U16+Datos!AM16))/(Datos!U16+Datos!AM16))
     ),IF(D_I="SI",(Datos!K16-Datos!U16)/Datos!U16,(Datos!K16+Datos!AE16-(Datos!U16+Datos!AM16))/(Datos!U16+Datos!AM16))," - ")</f>
        <v>-0.26557377049180325</v>
      </c>
      <c r="E16" s="459">
        <f>IF(ISNUMBER(
   IF(D_I="SI",(Datos!L16-Datos!V16)/Datos!V16,(Datos!L16+Datos!AF16-(Datos!V16+Datos!AN16))/(Datos!V16+Datos!AN16))
     ),IF(D_I="SI",(Datos!L16-Datos!V16)/Datos!V16,(Datos!L16+Datos!AF16-(Datos!V16+Datos!AN16))/(Datos!V16+Datos!AN16))," - ")</f>
        <v>0.20661157024793389</v>
      </c>
      <c r="F16" s="459">
        <f>IF(ISNUMBER((Datos!M16-Datos!W16)/Datos!W16),(Datos!M16-Datos!W16)/Datos!W16," - ")</f>
        <v>-0.32258064516129031</v>
      </c>
      <c r="G16" s="460">
        <f>IF(ISNUMBER((Datos!N16-Datos!X16)/Datos!X16),(Datos!N16-Datos!X16)/Datos!X16," - ")</f>
        <v>-0.22950819672131148</v>
      </c>
      <c r="H16" s="458">
        <f>IF(ISNUMBER(((NºAsuntos!G16/NºAsuntos!E16)-Datos!BD16)/Datos!BD16),((NºAsuntos!G16/NºAsuntos!E16)-Datos!BD16)/Datos!BD16," - ")</f>
        <v>-3.5692389710782424E-2</v>
      </c>
      <c r="I16" s="459">
        <f>IF(ISNUMBER(((NºAsuntos!I16/NºAsuntos!G16)-Datos!BE16)/Datos!BE16),((NºAsuntos!I16/NºAsuntos!G16)-Datos!BE16)/Datos!BE16," - ")</f>
        <v>0.64293093270365997</v>
      </c>
      <c r="J16" s="464">
        <f>IF(ISNUMBER((('Resol  Asuntos'!D16/NºAsuntos!G16)-Datos!BF16)/Datos!BF16),(('Resol  Asuntos'!D16/NºAsuntos!G16)-Datos!BF16)/Datos!BF16," - ")</f>
        <v>-7.762096774193547E-2</v>
      </c>
      <c r="K16" s="465">
        <f>IF(ISNUMBER((((NºAsuntos!C16+NºAsuntos!E16)/NºAsuntos!G16)-Datos!BG16)/Datos!BG16),(((NºAsuntos!C16+NºAsuntos!E16)/NºAsuntos!G16)-Datos!BG16)/Datos!BG16," - ")</f>
        <v>0.19547804169514696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v>
      </c>
      <c r="C17" s="459">
        <f>IF(ISNUMBER(
   IF(D_I="SI",(Datos!J17-Datos!T17)/Datos!T17,(Datos!J17+Datos!AD17-(Datos!T17+Datos!AL17))/(Datos!T17+Datos!AL17))
     ),IF(D_I="SI",(Datos!J17-Datos!T17)/Datos!T17,(Datos!J17+Datos!AD17-(Datos!T17+Datos!AL17))/(Datos!T17+Datos!AL17))," - ")</f>
        <v>-0.5625</v>
      </c>
      <c r="D17" s="459">
        <f>IF(ISNUMBER(
   IF(D_I="SI",(Datos!K17-Datos!U17)/Datos!U17,(Datos!K17+Datos!AE17-(Datos!U17+Datos!AM17))/(Datos!U17+Datos!AM17))
     ),IF(D_I="SI",(Datos!K17-Datos!U17)/Datos!U17,(Datos!K17+Datos!AE17-(Datos!U17+Datos!AM17))/(Datos!U17+Datos!AM17))," - ")</f>
        <v>-0.75</v>
      </c>
      <c r="E17" s="459">
        <f>IF(ISNUMBER(
   IF(D_I="SI",(Datos!L17-Datos!V17)/Datos!V17,(Datos!L17+Datos!AF17-(Datos!V17+Datos!AN17))/(Datos!V17+Datos!AN17))
     ),IF(D_I="SI",(Datos!L17-Datos!V17)/Datos!V17,(Datos!L17+Datos!AF17-(Datos!V17+Datos!AN17))/(Datos!V17+Datos!AN17))," - ")</f>
        <v>2</v>
      </c>
      <c r="F17" s="459">
        <f>IF(ISNUMBER((Datos!M17-Datos!W17)/Datos!W17),(Datos!M17-Datos!W17)/Datos!W17," - ")</f>
        <v>0</v>
      </c>
      <c r="G17" s="460">
        <f>IF(ISNUMBER((Datos!N17-Datos!X17)/Datos!X17),(Datos!N17-Datos!X17)/Datos!X17," - ")</f>
        <v>-0.53333333333333333</v>
      </c>
      <c r="H17" s="458">
        <f>IF(ISNUMBER(((NºAsuntos!G17/NºAsuntos!E17)-Datos!BD17)/Datos!BD17),((NºAsuntos!G17/NºAsuntos!E17)-Datos!BD17)/Datos!BD17," - ")</f>
        <v>-0.42857142857142855</v>
      </c>
      <c r="I17" s="459">
        <f>IF(ISNUMBER(((NºAsuntos!I17/NºAsuntos!G17)-Datos!BE17)/Datos!BE17),((NºAsuntos!I17/NºAsuntos!G17)-Datos!BE17)/Datos!BE17," - ")</f>
        <v>10.999999999999998</v>
      </c>
      <c r="J17" s="464">
        <f>IF(ISNUMBER((('Resol  Asuntos'!D17/NºAsuntos!G17)-Datos!BF17)/Datos!BF17),(('Resol  Asuntos'!D17/NºAsuntos!G17)-Datos!BF17)/Datos!BF17," - ")</f>
        <v>3.0000000000000004</v>
      </c>
      <c r="K17" s="465">
        <f>IF(ISNUMBER((((NºAsuntos!C17+NºAsuntos!E17)/NºAsuntos!G17)-Datos!BG17)/Datos!BG17),(((NºAsuntos!C17+NºAsuntos!E17)/NºAsuntos!G17)-Datos!BG17)/Datos!BG17," - ")</f>
        <v>0.52380952380952384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v>
      </c>
      <c r="C18" s="858">
        <f>IF(ISNUMBER(
   IF(Criterios!B14="SI",(Datos!J18-Datos!T18)/Datos!T18,(Datos!J18+Datos!AD18-(Datos!T18+Datos!AL18))/(Datos!T18+Datos!AL18))
     ),IF(Criterios!B14="SI",(Datos!J18-Datos!T18)/Datos!T18,(Datos!J18+Datos!AD18-(Datos!T18+Datos!AL18))/(Datos!T18+Datos!AL18))," - ")</f>
        <v>-0.25368731563421831</v>
      </c>
      <c r="D18" s="858">
        <f>IF(ISNUMBER(
   IF(Criterios!B14="SI",(Datos!K18-Datos!U18)/Datos!U18,(Datos!K18+Datos!AE18-(Datos!U18+Datos!AM18))/(Datos!U18+Datos!AM18))
     ),IF(Criterios!B14="SI",(Datos!K18-Datos!U18)/Datos!U18,(Datos!K18+Datos!AE18-(Datos!U18+Datos!AM18))/(Datos!U18+Datos!AM18))," - ")</f>
        <v>-0.29538461538461541</v>
      </c>
      <c r="E18" s="858">
        <f>IF(ISNUMBER(
   IF(Criterios!B14="SI",(Datos!L18-Datos!V18)/Datos!V18,(Datos!L18+Datos!AF18-(Datos!V18+Datos!AN18))/(Datos!V18+Datos!AN18))
     ),IF(Criterios!B14="SI",(Datos!L18-Datos!V18)/Datos!V18,(Datos!L18+Datos!AF18-(Datos!V18+Datos!AN18))/(Datos!V18+Datos!AN18))," - ")</f>
        <v>0.22131147540983606</v>
      </c>
      <c r="F18" s="859">
        <f>IF(ISNUMBER((Datos!M18-Datos!W18)/Datos!W18),(Datos!M18-Datos!W18)/Datos!W18," - ")</f>
        <v>-0.3125</v>
      </c>
      <c r="G18" s="860">
        <f>IF(ISNUMBER((Datos!N18-Datos!X18)/Datos!X18),(Datos!N18-Datos!X18)/Datos!X18," - ")</f>
        <v>-0.25252525252525254</v>
      </c>
      <c r="H18" s="860">
        <f>IF(ISNUMBER(((NºAsuntos!G18/NºAsuntos!E18)-Datos!BD18)/Datos!BD18),((NºAsuntos!G18/NºAsuntos!E18)-Datos!BD18)/Datos!BD18," - ")</f>
        <v>-5.5871085436302807E-2</v>
      </c>
      <c r="I18" s="860">
        <f>IF(ISNUMBER(((NºAsuntos!I18/NºAsuntos!G18)-Datos!BE18)/Datos!BE18),((NºAsuntos!I18/NºAsuntos!G18)-Datos!BE18)/Datos!BE18," - ")</f>
        <v>0.73330231226286768</v>
      </c>
      <c r="J18" s="860">
        <f>IF(ISNUMBER((('Resol  Asuntos'!D18/NºAsuntos!G18)-Datos!BF18)/Datos!BF18),(('Resol  Asuntos'!D18/NºAsuntos!G18)-Datos!BF18)/Datos!BF18," - ")</f>
        <v>-2.4290393013100417E-2</v>
      </c>
      <c r="K18" s="860">
        <f>IF(ISNUMBER((((NºAsuntos!C18+NºAsuntos!E18)/NºAsuntos!G18)-Datos!BG18)/Datos!BG18),(((NºAsuntos!C18+NºAsuntos!E18)/NºAsuntos!G18)-Datos!BG18)/Datos!BG18," - ")</f>
        <v>0.21231261998786444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8.8785046728971959E-2</v>
      </c>
      <c r="C19" s="805">
        <f>IF(ISNUMBER(
   IF(J_V="SI",(Datos!J19-Datos!T19)/Datos!T19,(Datos!J19+Datos!Z19-(Datos!T19+Datos!AH19))/(Datos!T19+Datos!AH19))
     ),IF(J_V="SI",(Datos!J19-Datos!T19)/Datos!T19,(Datos!J19+Datos!Z19-(Datos!T19+Datos!AH19))/(Datos!T19+Datos!AH19))," - ")</f>
        <v>-9.0236686390532547E-2</v>
      </c>
      <c r="D19" s="805">
        <f>IF(ISNUMBER(
   IF(J_V="SI",(Datos!K19-Datos!U19)/Datos!U19,(Datos!K19+Datos!AA19-(Datos!U19+Datos!AI19))/(Datos!U19+Datos!AI19))
     ),IF(J_V="SI",(Datos!K19-Datos!U19)/Datos!U19,(Datos!K19+Datos!AA19-(Datos!U19+Datos!AI19))/(Datos!U19+Datos!AI19))," - ")</f>
        <v>-0.1774436090225564</v>
      </c>
      <c r="E19" s="805">
        <f>IF(ISNUMBER(
   IF(J_V="SI",(Datos!L19-Datos!V19)/Datos!V19,(Datos!L19+Datos!AB19-(Datos!V19+Datos!AJ19))/(Datos!V19+Datos!AJ19))
     ),IF(J_V="SI",(Datos!L19-Datos!V19)/Datos!V19,(Datos!L19+Datos!AB19-(Datos!V19+Datos!AJ19))/(Datos!V19+Datos!AJ19))," - ")</f>
        <v>0.30472103004291845</v>
      </c>
      <c r="F19" s="806">
        <f>IF(ISNUMBER((Datos!M19-Datos!W19)/Datos!W19),(Datos!M19-Datos!W19)/Datos!W19," - ")</f>
        <v>-0.37142857142857144</v>
      </c>
      <c r="G19" s="807">
        <f>IF(ISNUMBER((Datos!N19-Datos!X19)/Datos!X19),(Datos!N19-Datos!X19)/Datos!X19," - ")</f>
        <v>-0.1092436974789916</v>
      </c>
      <c r="H19" s="808">
        <f>IF(ISNUMBER((Tasas!B19-Datos!BD19)/Datos!BD19),(Tasas!B19-Datos!BD19)/Datos!BD19," - ")</f>
        <v>-9.5856714958127018E-2</v>
      </c>
      <c r="I19" s="809">
        <f>IF(ISNUMBER((Tasas!C19-Datos!BE19)/Datos!BE19),(Tasas!C19-Datos!BE19)/Datos!BE19," - ")</f>
        <v>0.58617821751104349</v>
      </c>
      <c r="J19" s="810">
        <f>IF(ISNUMBER((Tasas!D19-Datos!BF19)/Datos!BF19),(Tasas!D19-Datos!BF19)/Datos!BF19," - ")</f>
        <v>-0.58209552102376605</v>
      </c>
      <c r="K19" s="810">
        <f>IF(ISNUMBER((Tasas!E19-Datos!BG19)/Datos!BG19),(Tasas!E19-Datos!BG19)/Datos!BG19," - ")</f>
        <v>0.15835096440235802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vRpjM6Pt6gihV0QjPYKz7PKrS3o5U9QBrcCMLhZ0GJwOY6AE8CZrWNf7kNXg9IS1JtPmhzY61ZeODwWZUR39Q==" saltValue="kQbkMUVkXrmumfRjVnwZ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SALAMANCA</v>
      </c>
    </row>
    <row r="4" spans="1:7" ht="11.25" customHeight="1" thickBot="1">
      <c r="B4" s="394" t="str">
        <f>Criterios!A11 &amp;"  "&amp;Criterios!B11</f>
        <v>Resumenes por Partidos Judiciales  VITIGUDINO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0.87845303867403313</v>
      </c>
      <c r="C12" s="446">
        <f>IF(ISNUMBER(NºAsuntos!I12/NºAsuntos!G12),NºAsuntos!I12/NºAsuntos!G12," - ")</f>
        <v>0.48742138364779874</v>
      </c>
      <c r="D12" s="447">
        <f>IF(ISNUMBER('Resol  Asuntos'!D12/NºAsuntos!G12),'Resol  Asuntos'!D12/NºAsuntos!G12," - ")</f>
        <v>0.13836477987421383</v>
      </c>
      <c r="E12" s="448">
        <f>IF(ISNUMBER((NºAsuntos!C12+NºAsuntos!E12)/NºAsuntos!G12),(NºAsuntos!C12+NºAsuntos!E12)/NºAsuntos!G12," - ")</f>
        <v>1.4874213836477987</v>
      </c>
      <c r="G12" s="466"/>
    </row>
    <row r="13" spans="1:7" ht="14.25" thickTop="1" thickBot="1">
      <c r="A13" s="851" t="str">
        <f>Datos!A13</f>
        <v>TOTAL</v>
      </c>
      <c r="B13" s="861">
        <f>IF(ISNUMBER(NºAsuntos!G13/NºAsuntos!E13),NºAsuntos!G13/NºAsuntos!E13," - ")</f>
        <v>0.87845303867403313</v>
      </c>
      <c r="C13" s="862">
        <f>IF(ISNUMBER(NºAsuntos!I13/NºAsuntos!G13),NºAsuntos!I13/NºAsuntos!G13," - ")</f>
        <v>0.48742138364779874</v>
      </c>
      <c r="D13" s="863">
        <f>IF(ISNUMBER('Resol  Asuntos'!D13/NºAsuntos!G13),'Resol  Asuntos'!D13/NºAsuntos!G13," - ")</f>
        <v>0.13836477987421383</v>
      </c>
      <c r="E13" s="864">
        <f>IF(ISNUMBER((NºAsuntos!C13+NºAsuntos!E13)/NºAsuntos!G13),(NºAsuntos!C13+NºAsuntos!E13)/NºAsuntos!G13," - ")</f>
        <v>1.4874213836477987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0.91056910569105687</v>
      </c>
      <c r="C16" s="446">
        <f>IF(ISNUMBER(NºAsuntos!I16/NºAsuntos!G16),NºAsuntos!I16/NºAsuntos!G16," - ")</f>
        <v>0.6517857142857143</v>
      </c>
      <c r="D16" s="447">
        <f>IF(ISNUMBER('Resol  Asuntos'!D16/NºAsuntos!G16),'Resol  Asuntos'!D16/NºAsuntos!G16," - ")</f>
        <v>9.375E-2</v>
      </c>
      <c r="E16" s="448">
        <f>IF(ISNUMBER((NºAsuntos!C16+NºAsuntos!E16)/NºAsuntos!G16),(NºAsuntos!C16+NºAsuntos!E16)/NºAsuntos!G16," - ")</f>
        <v>1.6383928571428572</v>
      </c>
      <c r="G16" s="466"/>
    </row>
    <row r="17" spans="1:7" ht="13.5" thickBot="1">
      <c r="A17" s="405" t="str">
        <f>Datos!A17</f>
        <v>Jdos. Violencia contra la mujer</v>
      </c>
      <c r="B17" s="445">
        <f>IF(ISNUMBER(NºAsuntos!G17/NºAsuntos!E17),NºAsuntos!G17/NºAsuntos!E17," - ")</f>
        <v>0.7142857142857143</v>
      </c>
      <c r="C17" s="446">
        <f>IF(ISNUMBER(NºAsuntos!I17/NºAsuntos!G17),NºAsuntos!I17/NºAsuntos!G17," - ")</f>
        <v>0.6</v>
      </c>
      <c r="D17" s="447">
        <f>IF(ISNUMBER('Resol  Asuntos'!D17/NºAsuntos!G17),'Resol  Asuntos'!D17/NºAsuntos!G17," - ")</f>
        <v>0.2</v>
      </c>
      <c r="E17" s="448">
        <f>IF(ISNUMBER((NºAsuntos!C17+NºAsuntos!E17)/NºAsuntos!G17),(NºAsuntos!C17+NºAsuntos!E17)/NºAsuntos!G17," - ")</f>
        <v>1.6</v>
      </c>
      <c r="G17" s="466"/>
    </row>
    <row r="18" spans="1:7" ht="14.25" thickTop="1" thickBot="1">
      <c r="A18" s="851" t="str">
        <f>Datos!A18</f>
        <v>TOTAL</v>
      </c>
      <c r="B18" s="861">
        <f>IF(ISNUMBER(NºAsuntos!G18/NºAsuntos!E18),NºAsuntos!G18/NºAsuntos!E18," - ")</f>
        <v>0.90513833992094861</v>
      </c>
      <c r="C18" s="862">
        <f>IF(ISNUMBER(NºAsuntos!I18/NºAsuntos!G18),NºAsuntos!I18/NºAsuntos!G18," - ")</f>
        <v>0.6506550218340611</v>
      </c>
      <c r="D18" s="865">
        <f>IF(ISNUMBER('Resol  Asuntos'!D18/NºAsuntos!G18),'Resol  Asuntos'!D18/NºAsuntos!G18," - ")</f>
        <v>9.606986899563319E-2</v>
      </c>
      <c r="E18" s="864">
        <f>IF(ISNUMBER((NºAsuntos!C18+NºAsuntos!E18)/NºAsuntos!G18),(NºAsuntos!C18+NºAsuntos!E18)/NºAsuntos!G18," - ")</f>
        <v>1.6375545851528384</v>
      </c>
      <c r="G18" s="466"/>
    </row>
    <row r="19" spans="1:7" ht="15.75" customHeight="1" thickTop="1" thickBot="1">
      <c r="A19" s="796" t="str">
        <f>Datos!A19</f>
        <v>TOTAL JURISDICCIONES</v>
      </c>
      <c r="B19" s="811">
        <f>IF(ISNUMBER(NºAsuntos!G19/NºAsuntos!E19),NºAsuntos!G19/NºAsuntos!E19," - ")</f>
        <v>0.88943089430894307</v>
      </c>
      <c r="C19" s="812">
        <f>IF(ISNUMBER(NºAsuntos!I19/NºAsuntos!G19),NºAsuntos!I19/NºAsuntos!G19," - ")</f>
        <v>0.55575868372943327</v>
      </c>
      <c r="D19" s="813">
        <f>IF(ISNUMBER('Resol  Asuntos'!D19/NºAsuntos!G19),'Resol  Asuntos'!D19/NºAsuntos!G19," - ")</f>
        <v>0.1206581352833638</v>
      </c>
      <c r="E19" s="814">
        <f>IF(ISNUMBER((NºAsuntos!C19+NºAsuntos!E19)/NºAsuntos!G19),(NºAsuntos!C19+NºAsuntos!E19)/NºAsuntos!G19," - ")</f>
        <v>1.5502742230347348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5Ri+5l8FEvvmuznn2Bx1M1C8054BRboETsG/RQRDjdub2Sv05qx8SMpdPZRdzZ9e3nj1q1msp+HM2i6Bnq98Q==" saltValue="u+ACodaMd5keam4hjPNY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SALAMANCA</v>
      </c>
      <c r="N2" s="265" t="str">
        <f>Criterios!A11 &amp;"  "&amp;Criterios!B11</f>
        <v>Resumenes por Partidos Judiciales  VITIGUDINO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61</v>
      </c>
      <c r="Y12" s="337">
        <f t="shared" si="0"/>
        <v>61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44</v>
      </c>
      <c r="AJ12" s="232" t="str">
        <f>IF(ISNUMBER(Datos!BW12),Datos!BW12," - ")</f>
        <v xml:space="preserve"> - </v>
      </c>
      <c r="AK12" s="231" t="str">
        <f>IF(ISNUMBER(Datos!BX12),Datos!BX12," - ")</f>
        <v xml:space="preserve"> - </v>
      </c>
      <c r="AL12" s="246">
        <f>IF(ISNUMBER(NºAsuntos!G12/NºAsuntos!E12),NºAsuntos!G12/NºAsuntos!E12," - ")</f>
        <v>0.87845303867403313</v>
      </c>
      <c r="AM12" s="263">
        <f>IF(ISNUMBER(((NºAsuntos!I12/NºAsuntos!G12)*11)/factor_trimestre),((NºAsuntos!I12/NºAsuntos!G12)*11)/factor_trimestre," - ")</f>
        <v>5.3616352201257858</v>
      </c>
      <c r="AN12" s="247">
        <f>IF(ISNUMBER('Resol  Asuntos'!D12/NºAsuntos!G12),'Resol  Asuntos'!D12/NºAsuntos!G12," - ")</f>
        <v>0.13836477987421383</v>
      </c>
      <c r="AO12" s="248">
        <f>IF(ISNUMBER((NºAsuntos!C12+NºAsuntos!E12)/NºAsuntos!G12),(NºAsuntos!C12+NºAsuntos!E12)/NºAsuntos!G12," - ")</f>
        <v>1.4874213836477987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76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61</v>
      </c>
      <c r="Y13" s="871">
        <f t="shared" si="4"/>
        <v>61</v>
      </c>
      <c r="Z13" s="871">
        <f t="shared" si="4"/>
        <v>0</v>
      </c>
      <c r="AA13" s="871">
        <f t="shared" si="4"/>
        <v>0</v>
      </c>
      <c r="AB13" s="871">
        <f t="shared" si="4"/>
        <v>263</v>
      </c>
      <c r="AC13" s="871">
        <f t="shared" si="4"/>
        <v>0</v>
      </c>
      <c r="AD13" s="871">
        <f t="shared" si="4"/>
        <v>0</v>
      </c>
      <c r="AE13" s="875">
        <f t="shared" si="4"/>
        <v>0</v>
      </c>
      <c r="AF13" s="868">
        <f t="shared" si="4"/>
        <v>0</v>
      </c>
      <c r="AG13" s="876">
        <f t="shared" si="4"/>
        <v>0</v>
      </c>
      <c r="AH13" s="873">
        <f t="shared" si="4"/>
        <v>0</v>
      </c>
      <c r="AI13" s="868">
        <f t="shared" si="4"/>
        <v>44</v>
      </c>
      <c r="AJ13" s="870">
        <f t="shared" si="4"/>
        <v>0</v>
      </c>
      <c r="AK13" s="873">
        <f>SUBTOTAL(9,AK9:AK12)</f>
        <v>0</v>
      </c>
      <c r="AL13" s="877">
        <f>IF(ISNUMBER(NºAsuntos!G13/NºAsuntos!E13),NºAsuntos!G13/NºAsuntos!E13," - ")</f>
        <v>0.87845303867403313</v>
      </c>
      <c r="AM13" s="877">
        <f>IF(ISNUMBER(((NºAsuntos!I13/NºAsuntos!G13)*11)/factor_trimestre),((NºAsuntos!I13/NºAsuntos!G13)*11)/factor_trimestre," - ")</f>
        <v>5.3616352201257858</v>
      </c>
      <c r="AN13" s="878">
        <f>IF(ISNUMBER('Resol  Asuntos'!D13/NºAsuntos!G13),'Resol  Asuntos'!D13/NºAsuntos!G13," - ")</f>
        <v>0.13836477987421383</v>
      </c>
      <c r="AO13" s="879">
        <f>IF(ISNUMBER((NºAsuntos!C13+NºAsuntos!E13)/NºAsuntos!G13),(NºAsuntos!C13+NºAsuntos!E13)/NºAsuntos!G13," - ")</f>
        <v>1.4874213836477987</v>
      </c>
      <c r="AP13" s="880" t="str">
        <f t="shared" si="2"/>
        <v xml:space="preserve"> - </v>
      </c>
      <c r="AQ13" s="880" t="str">
        <f>IF(ISNUMBER((H13-W13+K13)/(F13)),(H13-W13+K13)/(F13)," - ")</f>
        <v xml:space="preserve"> - </v>
      </c>
      <c r="AR13" s="881">
        <f>IF(ISNUMBER((Datos!P13-Datos!Q13)/(Datos!R13-Datos!P13+Datos!Q13)),(Datos!P13-Datos!Q13)/(Datos!R13-Datos!P13+Datos!Q13)," - ")</f>
        <v>6.0483870967741937E-2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124</v>
      </c>
      <c r="G16" s="336">
        <f>IF(ISNUMBER(IF(D_I="SI",Datos!I16,Datos!I16+Datos!AC16)),IF(D_I="SI",Datos!I16,Datos!I16+Datos!AC16)," - ")</f>
        <v>121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224</v>
      </c>
      <c r="X16" s="229">
        <f>IF(ISNUMBER(Datos!Q16),Datos!Q16," - ")</f>
        <v>9</v>
      </c>
      <c r="Y16" s="337">
        <f t="shared" ref="Y16:Y17" si="7">SUM(W16:X16)</f>
        <v>233</v>
      </c>
      <c r="Z16" s="338" t="str">
        <f>IF(ISNUMBER(Datos!CC16),Datos!CC16," - ")</f>
        <v xml:space="preserve"> - </v>
      </c>
      <c r="AA16" s="335">
        <f>IF(ISNUMBER(IF(D_I="SI",Datos!L16,Datos!L16+Datos!AF16)),IF(D_I="SI",Datos!L16,Datos!L16+Datos!AF16)," - ")</f>
        <v>146</v>
      </c>
      <c r="AB16" s="337">
        <f>IF(ISNUMBER(Datos!R16),Datos!R16," - ")</f>
        <v>5</v>
      </c>
      <c r="AC16" s="337">
        <f t="shared" si="6"/>
        <v>151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v>
      </c>
      <c r="AJ16" s="234" t="str">
        <f>IF(ISNUMBER(Datos!BW16),Datos!BW16," - ")</f>
        <v xml:space="preserve"> - </v>
      </c>
      <c r="AK16" s="235" t="str">
        <f>IF(ISNUMBER(Datos!BX16),Datos!BX16," - ")</f>
        <v xml:space="preserve"> - </v>
      </c>
      <c r="AL16" s="246">
        <f>IF(ISNUMBER(NºAsuntos!G16/NºAsuntos!E16),NºAsuntos!G16/NºAsuntos!E16," - ")</f>
        <v>0.91056910569105687</v>
      </c>
      <c r="AM16" s="263">
        <f>IF(ISNUMBER(((NºAsuntos!I16/NºAsuntos!G16)*11)/factor_trimestre),((NºAsuntos!I16/NºAsuntos!G16)*11)/factor_trimestre," - ")</f>
        <v>7.1696428571428577</v>
      </c>
      <c r="AN16" s="247">
        <f>IF(ISNUMBER('Resol  Asuntos'!D16/NºAsuntos!G16),'Resol  Asuntos'!D16/NºAsuntos!G16," - ")</f>
        <v>9.375E-2</v>
      </c>
      <c r="AO16" s="248">
        <f>IF(ISNUMBER((NºAsuntos!C16+NºAsuntos!E16)/NºAsuntos!G16),(NºAsuntos!C16+NºAsuntos!E16)/NºAsuntos!G16," - ")</f>
        <v>1.6383928571428572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v>
      </c>
      <c r="X17" s="229">
        <f>IF(ISNUMBER(Datos!Q17),Datos!Q17," - ")</f>
        <v>0</v>
      </c>
      <c r="Y17" s="337">
        <f t="shared" si="7"/>
        <v>5</v>
      </c>
      <c r="Z17" s="338" t="str">
        <f>IF(ISNUMBER(Datos!CC17),Datos!CC17," - ")</f>
        <v xml:space="preserve"> - </v>
      </c>
      <c r="AA17" s="335">
        <f>IF(ISNUMBER(Datos!L17),Datos!L17,"-")</f>
        <v>3</v>
      </c>
      <c r="AB17" s="337">
        <f>IF(ISNUMBER(Datos!R17),Datos!R17," - ")</f>
        <v>0</v>
      </c>
      <c r="AC17" s="337">
        <f t="shared" si="6"/>
        <v>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0.7142857142857143</v>
      </c>
      <c r="AM17" s="263">
        <f>IF(ISNUMBER(((NºAsuntos!I17/NºAsuntos!G17)*11)/factor_trimestre),((NºAsuntos!I17/NºAsuntos!G17)*11)/factor_trimestre," - ")</f>
        <v>6.6</v>
      </c>
      <c r="AN17" s="247">
        <f>IF(ISNUMBER('Resol  Asuntos'!D17/NºAsuntos!G17),'Resol  Asuntos'!D17/NºAsuntos!G17," - ")</f>
        <v>0.2</v>
      </c>
      <c r="AO17" s="248">
        <f>IF(ISNUMBER((NºAsuntos!C17+NºAsuntos!E17)/NºAsuntos!G17),(NºAsuntos!C17+NºAsuntos!E17)/NºAsuntos!G17," - ")</f>
        <v>1.6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124</v>
      </c>
      <c r="G18" s="869">
        <f>SUBTOTAL(9,G15:G17)</f>
        <v>122</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229</v>
      </c>
      <c r="X18" s="870">
        <f t="shared" si="11"/>
        <v>9</v>
      </c>
      <c r="Y18" s="871">
        <f t="shared" si="11"/>
        <v>238</v>
      </c>
      <c r="Z18" s="871">
        <f t="shared" si="11"/>
        <v>0</v>
      </c>
      <c r="AA18" s="871">
        <f t="shared" si="11"/>
        <v>149</v>
      </c>
      <c r="AB18" s="871">
        <f t="shared" si="11"/>
        <v>5</v>
      </c>
      <c r="AC18" s="871">
        <f t="shared" si="11"/>
        <v>154</v>
      </c>
      <c r="AD18" s="871">
        <f t="shared" si="11"/>
        <v>0</v>
      </c>
      <c r="AE18" s="875">
        <f t="shared" si="11"/>
        <v>0</v>
      </c>
      <c r="AF18" s="868">
        <f t="shared" si="11"/>
        <v>0</v>
      </c>
      <c r="AG18" s="876">
        <f t="shared" si="11"/>
        <v>0</v>
      </c>
      <c r="AH18" s="873">
        <f t="shared" si="11"/>
        <v>0</v>
      </c>
      <c r="AI18" s="868">
        <f t="shared" si="11"/>
        <v>22</v>
      </c>
      <c r="AJ18" s="870">
        <f t="shared" si="11"/>
        <v>0</v>
      </c>
      <c r="AK18" s="873">
        <f t="shared" si="11"/>
        <v>0</v>
      </c>
      <c r="AL18" s="877">
        <f>IF(ISNUMBER(NºAsuntos!G18/NºAsuntos!E18),NºAsuntos!G18/NºAsuntos!E18," - ")</f>
        <v>0.90513833992094861</v>
      </c>
      <c r="AM18" s="877">
        <f>IF(ISNUMBER(((NºAsuntos!I18/NºAsuntos!G18)*11)/factor_trimestre),((NºAsuntos!I18/NºAsuntos!G18)*11)/factor_trimestre," - ")</f>
        <v>7.1572052401746724</v>
      </c>
      <c r="AN18" s="878">
        <f>IF(ISNUMBER('Resol  Asuntos'!D18/NºAsuntos!G18),'Resol  Asuntos'!D18/NºAsuntos!G18," - ")</f>
        <v>9.606986899563319E-2</v>
      </c>
      <c r="AO18" s="879">
        <f>IF(ISNUMBER((NºAsuntos!C18+NºAsuntos!E18)/NºAsuntos!G18),(NºAsuntos!C18+NºAsuntos!E18)/NºAsuntos!G18," - ")</f>
        <v>1.6375545851528384</v>
      </c>
      <c r="AP18" s="880" t="str">
        <f t="shared" si="2"/>
        <v xml:space="preserve"> - </v>
      </c>
      <c r="AQ18" s="880">
        <f>IF(ISNUMBER((H18-W18+K18)/(F18)),(H18-W18+K18)/(F18)," - ")</f>
        <v>-1.846774193548387</v>
      </c>
      <c r="AR18" s="881">
        <f>IF(ISNUMBER((Datos!P18-Datos!Q18)/(Datos!R18-Datos!P18+Datos!Q18)),(Datos!P18-Datos!Q18)/(Datos!R18-Datos!P18+Datos!Q18)," - ")</f>
        <v>-0.375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124</v>
      </c>
      <c r="G19" s="824">
        <f t="shared" si="13"/>
        <v>122</v>
      </c>
      <c r="H19" s="823">
        <f t="shared" si="13"/>
        <v>0</v>
      </c>
      <c r="I19" s="825">
        <f t="shared" si="13"/>
        <v>0</v>
      </c>
      <c r="J19" s="825">
        <f t="shared" si="13"/>
        <v>0</v>
      </c>
      <c r="K19" s="884">
        <f t="shared" si="13"/>
        <v>0</v>
      </c>
      <c r="L19" s="825">
        <f t="shared" si="13"/>
        <v>82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229</v>
      </c>
      <c r="X19" s="824">
        <f t="shared" si="14"/>
        <v>70</v>
      </c>
      <c r="Y19" s="831">
        <f t="shared" si="14"/>
        <v>299</v>
      </c>
      <c r="Z19" s="831">
        <f t="shared" si="14"/>
        <v>0</v>
      </c>
      <c r="AA19" s="831">
        <f t="shared" si="14"/>
        <v>149</v>
      </c>
      <c r="AB19" s="831">
        <f t="shared" si="14"/>
        <v>268</v>
      </c>
      <c r="AC19" s="831">
        <f t="shared" si="14"/>
        <v>154</v>
      </c>
      <c r="AD19" s="831">
        <f t="shared" si="14"/>
        <v>0</v>
      </c>
      <c r="AE19" s="833">
        <f t="shared" si="14"/>
        <v>0</v>
      </c>
      <c r="AF19" s="834">
        <f t="shared" si="14"/>
        <v>0</v>
      </c>
      <c r="AG19" s="835">
        <f t="shared" si="14"/>
        <v>0</v>
      </c>
      <c r="AH19" s="833">
        <f t="shared" si="14"/>
        <v>0</v>
      </c>
      <c r="AI19" s="823">
        <f t="shared" si="14"/>
        <v>66</v>
      </c>
      <c r="AJ19" s="823">
        <f t="shared" si="14"/>
        <v>0</v>
      </c>
      <c r="AK19" s="833">
        <f t="shared" si="14"/>
        <v>0</v>
      </c>
      <c r="AL19" s="887">
        <f>IF(ISNUMBER(NºAsuntos!G19/NºAsuntos!E19),NºAsuntos!G19/NºAsuntos!E19," - ")</f>
        <v>0.88943089430894307</v>
      </c>
      <c r="AM19" s="888">
        <f>IF(ISNUMBER(((NºAsuntos!I19/NºAsuntos!G19)*11)/factor_trimestre),((NºAsuntos!I19/NºAsuntos!G19)*11)/factor_trimestre," - ")</f>
        <v>6.1133455210237662</v>
      </c>
      <c r="AN19" s="888">
        <f>IF(ISNUMBER('Resol  Asuntos'!D19/NºAsuntos!G19),'Resol  Asuntos'!D19/NºAsuntos!G19," - ")</f>
        <v>0.1206581352833638</v>
      </c>
      <c r="AO19" s="889">
        <f>IF(ISNUMBER((NºAsuntos!C19+NºAsuntos!E19)/NºAsuntos!G19),(NºAsuntos!C19+NºAsuntos!E19)/NºAsuntos!G19," - ")</f>
        <v>1.5502742230347348</v>
      </c>
      <c r="AP19" s="890" t="str">
        <f t="shared" si="2"/>
        <v xml:space="preserve"> - </v>
      </c>
      <c r="AQ19" s="891">
        <f>IF(OR(ISNUMBER(FIND("01",Criterios!A8,1)),ISNUMBER(FIND("02",Criterios!A8,1)),ISNUMBER(FIND("03",Criterios!A8,1)),ISNUMBER(FIND("04",Criterios!A8,1))),(I19-W19+K19)/(F19-K19),(H19-W19+K19)/(F19-K19))</f>
        <v>-1.846774193548387</v>
      </c>
      <c r="AR19" s="892">
        <f>IF(ISNUMBER((Datos!P19-Datos!Q19)/(Datos!R19-Datos!P19+Datos!Q19)),(Datos!P19-Datos!Q19)/(Datos!R19-Datos!P19+Datos!Q19)," - ")</f>
        <v>4.6875E-2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71.591433379513589</v>
      </c>
      <c r="G21" s="256">
        <f>IF(ISNUMBER(STDEV(G8:G18)),STDEV(G8:G18),"-")</f>
        <v>66.367913934370421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123.17589049810032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19.462785001124583</v>
      </c>
      <c r="AJ21" s="255">
        <f t="shared" si="18"/>
        <v>0</v>
      </c>
      <c r="AK21" s="257">
        <f t="shared" si="18"/>
        <v>0</v>
      </c>
      <c r="AL21" s="252">
        <f t="shared" si="18"/>
        <v>8.1354256984651943E-2</v>
      </c>
      <c r="AM21" s="253">
        <f t="shared" si="18"/>
        <v>0.91345899304715206</v>
      </c>
      <c r="AN21" s="253">
        <f t="shared" si="18"/>
        <v>4.3158077622591814E-2</v>
      </c>
      <c r="AO21" s="254">
        <f t="shared" si="18"/>
        <v>7.710307347049114E-2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oUimkDOCHn2kTQ2QVK8XMCt5MNmQ0GATPpdSn8PyDu6ks4f0C9a1hG5slr+Us8uSyN1dnEsrLlkaS8pUGo37w==" saltValue="ZeLjAYVGyaqQHt3bGdXs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SALAMANCA</v>
      </c>
      <c r="E3" s="266"/>
    </row>
    <row r="4" spans="2:20" ht="17.25" customHeight="1" thickBot="1">
      <c r="D4" s="265" t="str">
        <f>Criterios!A11 &amp;"  "&amp;Criterios!B11</f>
        <v>Resumenes por Partidos Judiciales  VITIGUDINO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-1</v>
      </c>
      <c r="F10" s="351">
        <f>IF(ISNUMBER((Datos!K10-Datos!U10)/Datos!U10),(Datos!K10-Datos!U10)/Datos!U10," - ")</f>
        <v>-1</v>
      </c>
      <c r="G10" s="352" t="str">
        <f>IF(ISNUMBER((Datos!L10-Datos!V10)/Datos!V10),(Datos!L10-Datos!V10)/Datos!V10," - ")</f>
        <v xml:space="preserve"> - </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-0.3888888888888889</v>
      </c>
      <c r="I12" s="353">
        <f>IF(ISNUMBER((Tasas!C12-Datos!BE12)/Datos!BE12),(Tasas!C12-Datos!BE12)/Datos!BE12," - ")</f>
        <v>0.48861125276219614</v>
      </c>
      <c r="J12" s="352">
        <f>IF(ISNUMBER((Tasas!D12-Datos!BF12)/Datos!BF12),(Tasas!D12-Datos!BF12)/Datos!BF12," - ")</f>
        <v>-0.70499584668327986</v>
      </c>
      <c r="K12" s="354">
        <f>IF(ISNUMBER((Tasas!E12-Datos!BG12)/Datos!BG12),(Tasas!E12-Datos!BG12)/Datos!BG12," - ")</f>
        <v>0.120524109014675</v>
      </c>
      <c r="M12" t="e">
        <f>IF(Monitorios="SI",Datos!CE12,0)</f>
        <v>#REF!</v>
      </c>
      <c r="N12" t="e">
        <f>IF(Monitorios="SI",Datos!CF12,0)</f>
        <v>#REF!</v>
      </c>
      <c r="O12" t="e">
        <f>IF(Monitorios="SI",Datos!CG12,0)</f>
        <v>#REF!</v>
      </c>
      <c r="P12" t="e">
        <f>IF(Monitorios="SI",Datos!CH12,0)</f>
        <v>#REF!</v>
      </c>
      <c r="Q12">
        <f>IF(J_V="SI",0,Datos!AG12)</f>
        <v>7</v>
      </c>
      <c r="R12">
        <f>IF(J_V="SI",0,Datos!AH12)</f>
        <v>47</v>
      </c>
      <c r="S12">
        <f>IF(J_V="SI",0,Datos!AI12)</f>
        <v>50</v>
      </c>
      <c r="T12">
        <f>IF(J_V="SI",0,Datos!AJ12)</f>
        <v>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-0.39726027397260272</v>
      </c>
      <c r="I13" s="360">
        <f>IF(ISNUMBER((Tasas!C13-Datos!BE13)/Datos!BE13),(Tasas!C13-Datos!BE13)/Datos!BE13," - ")</f>
        <v>0.49300243639866281</v>
      </c>
      <c r="J13" s="358">
        <f>IF(ISNUMBER((Tasas!D13-Datos!BF13)/Datos!BF13),(Tasas!D13-Datos!BF13)/Datos!BF13," - ")</f>
        <v>-0.70597484276729561</v>
      </c>
      <c r="K13" s="361">
        <f>IF(ISNUMBER((Tasas!E13-Datos!BG13)/Datos!BG13),(Tasas!E13-Datos!BG13)/Datos!BG13," - ")</f>
        <v>0.12133762847062438</v>
      </c>
      <c r="M13" t="e">
        <f>IF(Monitorios="SI",Datos!CE13,0)</f>
        <v>#REF!</v>
      </c>
      <c r="N13" t="e">
        <f>IF(Monitorios="SI",Datos!CF13,0)</f>
        <v>#REF!</v>
      </c>
      <c r="O13" t="e">
        <f>IF(Monitorios="SI",Datos!CG13,0)</f>
        <v>#REF!</v>
      </c>
      <c r="P13" t="e">
        <f>IF(Monitorios="SI",Datos!CH13,0)</f>
        <v>#REF!</v>
      </c>
      <c r="Q13">
        <f>IF(J_V="SI",0,Datos!AG13)</f>
        <v>7</v>
      </c>
      <c r="R13">
        <f>IF(J_V="SI",0,Datos!AH13)</f>
        <v>47</v>
      </c>
      <c r="S13">
        <f>IF(J_V="SI",0,Datos!AI13)</f>
        <v>50</v>
      </c>
      <c r="T13">
        <f>IF(J_V="SI",0,Datos!AJ13)</f>
        <v>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0.27368421052631581</v>
      </c>
      <c r="E16" s="351">
        <f>IF(ISNUMBER(
   IF(D_I="SI",(Datos!J16-Datos!T16)/Datos!T16,(Datos!J16+Datos!AD16-(Datos!T16+Datos!AL16))/(Datos!T16+Datos!AL16))
     ),IF(D_I="SI",(Datos!J16-Datos!T16)/Datos!T16,(Datos!J16+Datos!AD16-(Datos!T16+Datos!AL16))/(Datos!T16+Datos!AL16))," - ")</f>
        <v>-0.23839009287925697</v>
      </c>
      <c r="F16" s="351">
        <f>IF(ISNUMBER(
   IF(D_I="SI",(Datos!K16-Datos!U16)/Datos!U16,(Datos!K16+Datos!AE16-(Datos!U16+Datos!AM16))/(Datos!U16+Datos!AM16))
     ),IF(D_I="SI",(Datos!K16-Datos!U16)/Datos!U16,(Datos!K16+Datos!AE16-(Datos!U16+Datos!AM16))/(Datos!U16+Datos!AM16))," - ")</f>
        <v>-0.26557377049180325</v>
      </c>
      <c r="G16" s="352">
        <f>IF(ISNUMBER(
   IF(D_I="SI",(Datos!L16-Datos!V16)/Datos!V16,(Datos!L16+Datos!AF16-(Datos!V16+Datos!AN16))/(Datos!V16+Datos!AN16))
     ),IF(D_I="SI",(Datos!L16-Datos!V16)/Datos!V16,(Datos!L16+Datos!AF16-(Datos!V16+Datos!AN16))/(Datos!V16+Datos!AN16))," - ")</f>
        <v>0.20661157024793389</v>
      </c>
      <c r="H16" s="233">
        <f>IF(ISNUMBER((Datos!M16-Datos!W16)/Datos!W16),(Datos!M16-Datos!W16)/Datos!W16," - ")</f>
        <v>-0.32258064516129031</v>
      </c>
      <c r="I16" s="353">
        <f>IF(ISNUMBER((Tasas!C16-Datos!BE16)/Datos!BE16),(Tasas!C16-Datos!BE16)/Datos!BE16," - ")</f>
        <v>0.64293093270365997</v>
      </c>
      <c r="J16" s="352">
        <f>IF(ISNUMBER((Tasas!D16-Datos!BF16)/Datos!BF16),(Tasas!D16-Datos!BF16)/Datos!BF16," - ")</f>
        <v>-7.762096774193547E-2</v>
      </c>
      <c r="K16" s="354">
        <f>IF(ISNUMBER((Tasas!E16-Datos!BG16)/Datos!BG16),(Tasas!E16-Datos!BG16)/Datos!BG16," - ")</f>
        <v>0.19547804169514696</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v>
      </c>
      <c r="E17" s="351">
        <f>IF(ISNUMBER(
   IF(D_I="SI",(Datos!J17-Datos!T17)/Datos!T17,(Datos!J17+Datos!AD17-(Datos!T17+Datos!AL17))/(Datos!T17+Datos!AL17))
     ),IF(D_I="SI",(Datos!J17-Datos!T17)/Datos!T17,(Datos!J17+Datos!AD17-(Datos!T17+Datos!AL17))/(Datos!T17+Datos!AL17))," - ")</f>
        <v>-0.5625</v>
      </c>
      <c r="F17" s="351">
        <f>IF(ISNUMBER(
   IF(D_I="SI",(Datos!K17-Datos!U17)/Datos!U17,(Datos!K17+Datos!AE17-(Datos!U17+Datos!AM17))/(Datos!U17+Datos!AM17))
     ),IF(D_I="SI",(Datos!K17-Datos!U17)/Datos!U17,(Datos!K17+Datos!AE17-(Datos!U17+Datos!AM17))/(Datos!U17+Datos!AM17))," - ")</f>
        <v>-0.75</v>
      </c>
      <c r="G17" s="352">
        <f>IF(ISNUMBER(
   IF(D_I="SI",(Datos!L17-Datos!V17)/Datos!V17,(Datos!L17+Datos!AF17-(Datos!V17+Datos!AN17))/(Datos!V17+Datos!AN17))
     ),IF(D_I="SI",(Datos!L17-Datos!V17)/Datos!V17,(Datos!L17+Datos!AF17-(Datos!V17+Datos!AN17))/(Datos!V17+Datos!AN17))," - ")</f>
        <v>2</v>
      </c>
      <c r="H17" s="233">
        <f>IF(ISNUMBER((Datos!M17-Datos!W17)/Datos!W17),(Datos!M17-Datos!W17)/Datos!W17," - ")</f>
        <v>0</v>
      </c>
      <c r="I17" s="353">
        <f>IF(ISNUMBER((Tasas!C17-Datos!BE17)/Datos!BE17),(Tasas!C17-Datos!BE17)/Datos!BE17," - ")</f>
        <v>10.999999999999998</v>
      </c>
      <c r="J17" s="352">
        <f>IF(ISNUMBER((Tasas!D17-Datos!BF17)/Datos!BF17),(Tasas!D17-Datos!BF17)/Datos!BF17," - ")</f>
        <v>3.0000000000000004</v>
      </c>
      <c r="K17" s="354">
        <f>IF(ISNUMBER((Tasas!E17-Datos!BG17)/Datos!BG17),(Tasas!E17-Datos!BG17)/Datos!BG17," - ")</f>
        <v>0.52380952380952384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v>
      </c>
      <c r="E18" s="357">
        <f>IF(ISNUMBER(
   IF(D_I="SI",(Datos!J18-Datos!T18)/Datos!T18,(Datos!J18+Datos!AD18-(Datos!T18+Datos!AL18))/(Datos!T18+Datos!AL18))
     ),IF(D_I="SI",(Datos!J18-Datos!T18)/Datos!T18,(Datos!J18+Datos!AD18-(Datos!T18+Datos!AL18))/(Datos!T18+Datos!AL18))," - ")</f>
        <v>-0.25368731563421831</v>
      </c>
      <c r="F18" s="357">
        <f>IF(ISNUMBER(
   IF(D_I="SI",(Datos!K18-Datos!U18)/Datos!U18,(Datos!K18+Datos!AE18-(Datos!U18+Datos!AM18))/(Datos!U18+Datos!AM18))
     ),IF(D_I="SI",(Datos!K18-Datos!U18)/Datos!U18,(Datos!K18+Datos!AE18-(Datos!U18+Datos!AM18))/(Datos!U18+Datos!AM18))," - ")</f>
        <v>-0.29538461538461541</v>
      </c>
      <c r="G18" s="358">
        <f>IF(ISNUMBER(
   IF(D_I="SI",(Datos!L18-Datos!V18)/Datos!V18,(Datos!L18+Datos!AF18-(Datos!V18+Datos!AN18))/(Datos!V18+Datos!AN18))
     ),IF(D_I="SI",(Datos!L18-Datos!V18)/Datos!V18,(Datos!L18+Datos!AF18-(Datos!V18+Datos!AN18))/(Datos!V18+Datos!AN18))," - ")</f>
        <v>0.22131147540983606</v>
      </c>
      <c r="H18" s="359">
        <f>IF(ISNUMBER((Datos!M18-Datos!W18)/Datos!W18),(Datos!M18-Datos!W18)/Datos!W18," - ")</f>
        <v>-0.3125</v>
      </c>
      <c r="I18" s="360">
        <f>IF(ISNUMBER((Tasas!C18-Datos!BE18)/Datos!BE18),(Tasas!C18-Datos!BE18)/Datos!BE18," - ")</f>
        <v>0.73330231226286768</v>
      </c>
      <c r="J18" s="358">
        <f>IF(ISNUMBER((Tasas!D18-Datos!BF18)/Datos!BF18),(Tasas!D18-Datos!BF18)/Datos!BF18," - ")</f>
        <v>-2.4290393013100417E-2</v>
      </c>
      <c r="K18" s="361">
        <f>IF(ISNUMBER((Tasas!E18-Datos!BG18)/Datos!BG18),(Tasas!E18-Datos!BG18)/Datos!BG18," - ")</f>
        <v>0.21231261998786444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8.8785046728971959E-2</v>
      </c>
      <c r="E19" s="366">
        <f>IF(ISNUMBER(
   IF(J_V="SI",(Datos!J19-Datos!T19)/Datos!T19,(Datos!J19+Datos!Z19-(Datos!T19+Datos!AH19))/(Datos!T19+Datos!AH19))
     ),IF(J_V="SI",(Datos!J19-Datos!T19)/Datos!T19,(Datos!J19+Datos!Z19-(Datos!T19+Datos!AH19))/(Datos!T19+Datos!AH19))," - ")</f>
        <v>-9.0236686390532547E-2</v>
      </c>
      <c r="F19" s="366">
        <f>IF(ISNUMBER(
   IF(J_V="SI",(Datos!K19-Datos!U19)/Datos!U19,(Datos!K19+Datos!AA19-(Datos!U19+Datos!AI19))/(Datos!U19+Datos!AI19))
     ),IF(J_V="SI",(Datos!K19-Datos!U19)/Datos!U19,(Datos!K19+Datos!AA19-(Datos!U19+Datos!AI19))/(Datos!U19+Datos!AI19))," - ")</f>
        <v>-0.1774436090225564</v>
      </c>
      <c r="G19" s="367">
        <f>IF(ISNUMBER(
   IF(J_V="SI",(Datos!L19-Datos!V19)/Datos!V19,(Datos!L19+Datos!AB19-(Datos!V19+Datos!AJ19))/(Datos!V19+Datos!AJ19))
     ),IF(J_V="SI",(Datos!L19-Datos!V19)/Datos!V19,(Datos!L19+Datos!AB19-(Datos!V19+Datos!AJ19))/(Datos!V19+Datos!AJ19))," - ")</f>
        <v>0.30472103004291845</v>
      </c>
      <c r="H19" s="368">
        <f>IF(ISNUMBER((Datos!M19-Datos!W19)/Datos!W19),(Datos!M19-Datos!W19)/Datos!W19," - ")</f>
        <v>-0.37142857142857144</v>
      </c>
      <c r="I19" s="365">
        <f>IF(ISNUMBER((Tasas!C19-Datos!BE19)/Datos!BE19),(Tasas!C19-Datos!BE19)/Datos!BE19," - ")</f>
        <v>0.58617821751104349</v>
      </c>
      <c r="J19" s="366">
        <f>IF(ISNUMBER((Tasas!D19-Datos!BF19)/Datos!BF19),(Tasas!D19-Datos!BF19)/Datos!BF19," - ")</f>
        <v>-0.58209552102376605</v>
      </c>
      <c r="K19" s="367">
        <f>IF(ISNUMBER((Tasas!E19-Datos!BG19)/Datos!BG19),(Tasas!E19-Datos!BG19)/Datos!BG19," - ")</f>
        <v>0.15835096440235802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0.60499032752507043</v>
      </c>
      <c r="E21" s="281">
        <f t="shared" si="1"/>
        <v>0.35696463811942164</v>
      </c>
      <c r="F21" s="281">
        <f t="shared" si="1"/>
        <v>0.35830589039069866</v>
      </c>
      <c r="G21" s="282">
        <f t="shared" si="1"/>
        <v>1.0311959896716276</v>
      </c>
      <c r="H21" s="288">
        <f t="shared" si="1"/>
        <v>0.32671267252261782</v>
      </c>
      <c r="I21" s="280">
        <f t="shared" si="1"/>
        <v>4.6568892482241511</v>
      </c>
      <c r="J21" s="281">
        <f t="shared" si="1"/>
        <v>1.5459407088377273</v>
      </c>
      <c r="K21" s="282">
        <f t="shared" si="1"/>
        <v>0.16696633989035789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Y7XgoCJpjy0e39kPSDQ91H2gRbCL2BHqE9EkHu0y53GRWWcGQ0u9nDgidqv9iEzj1td1W2TQhF1422IV6nP5A==" saltValue="Bs52752OYUlF5iWfn8FJ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